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7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anessa Furtado\Documents\Instalações Elétricas\"/>
    </mc:Choice>
  </mc:AlternateContent>
  <xr:revisionPtr revIDLastSave="0" documentId="13_ncr:1_{999EE87F-1301-4E2C-AC09-D5CAEEA42B03}" xr6:coauthVersionLast="43" xr6:coauthVersionMax="43" xr10:uidLastSave="{00000000-0000-0000-0000-000000000000}"/>
  <bookViews>
    <workbookView xWindow="20370" yWindow="-75" windowWidth="20730" windowHeight="11760" firstSheet="5" activeTab="8" xr2:uid="{00000000-000D-0000-FFFF-FFFF00000000}"/>
  </bookViews>
  <sheets>
    <sheet name="Lâmpadas" sheetId="1" r:id="rId1"/>
    <sheet name="Dimensionamento dos Cabos" sheetId="5" r:id="rId2"/>
    <sheet name="Curto Circuito" sheetId="9" r:id="rId3"/>
    <sheet name="Circuitos" sheetId="4" r:id="rId4"/>
    <sheet name="Cálculo de Demanda" sheetId="7" r:id="rId5"/>
    <sheet name="Comprimento Médio" sheetId="6" r:id="rId6"/>
    <sheet name="Materiais" sheetId="3" r:id="rId7"/>
    <sheet name="Lista de Materiais" sheetId="10" r:id="rId8"/>
    <sheet name="Lista" sheetId="11" r:id="rId9"/>
    <sheet name="Quantidade de Cabos" sheetId="8" r:id="rId10"/>
    <sheet name="Tomadas" sheetId="2" r:id="rId11"/>
  </sheets>
  <calcPr calcId="19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D37" i="11" l="1"/>
  <c r="D36" i="11"/>
  <c r="C35" i="11"/>
  <c r="D35" i="11" s="1"/>
  <c r="C34" i="11"/>
  <c r="D34" i="11" s="1"/>
  <c r="C33" i="11"/>
  <c r="D33" i="11" s="1"/>
  <c r="C32" i="11"/>
  <c r="D32" i="11" s="1"/>
  <c r="D31" i="11"/>
  <c r="D30" i="11"/>
  <c r="D29" i="11"/>
  <c r="D28" i="11"/>
  <c r="D27" i="11"/>
  <c r="D26" i="11"/>
  <c r="D25" i="11"/>
  <c r="D24" i="11"/>
  <c r="D23" i="11"/>
  <c r="D22" i="11"/>
  <c r="D21" i="11"/>
  <c r="D20" i="11"/>
  <c r="D19" i="11"/>
  <c r="D18" i="11"/>
  <c r="D17" i="11"/>
  <c r="D16" i="11"/>
  <c r="D15" i="11"/>
  <c r="D14" i="11"/>
  <c r="D13" i="11"/>
  <c r="D12" i="11"/>
  <c r="D11" i="11"/>
  <c r="D10" i="11"/>
  <c r="D9" i="11"/>
  <c r="D8" i="11"/>
  <c r="D7" i="11"/>
  <c r="D6" i="11"/>
  <c r="D5" i="11"/>
  <c r="D4" i="11"/>
  <c r="D3" i="11"/>
  <c r="D2" i="11"/>
  <c r="C33" i="10"/>
  <c r="C34" i="10"/>
  <c r="C35" i="10"/>
  <c r="C32" i="10"/>
  <c r="D32" i="10" s="1"/>
  <c r="D37" i="10"/>
  <c r="D36" i="10"/>
  <c r="D35" i="10"/>
  <c r="D34" i="10"/>
  <c r="D31" i="10"/>
  <c r="D30" i="10"/>
  <c r="D29" i="10"/>
  <c r="D28" i="10"/>
  <c r="D27" i="10"/>
  <c r="D26" i="10"/>
  <c r="D25" i="10"/>
  <c r="D24" i="10"/>
  <c r="D23" i="10"/>
  <c r="D22" i="10"/>
  <c r="D21" i="10"/>
  <c r="D20" i="10"/>
  <c r="D19" i="10"/>
  <c r="D18" i="10"/>
  <c r="D17" i="10"/>
  <c r="D16" i="10"/>
  <c r="D15" i="10"/>
  <c r="D14" i="10"/>
  <c r="D13" i="10"/>
  <c r="D12" i="10"/>
  <c r="D11" i="10"/>
  <c r="D10" i="10"/>
  <c r="D9" i="10"/>
  <c r="D8" i="10"/>
  <c r="D7" i="10"/>
  <c r="D6" i="10"/>
  <c r="D5" i="10"/>
  <c r="D4" i="10"/>
  <c r="D3" i="10"/>
  <c r="D2" i="10"/>
  <c r="D33" i="10" l="1"/>
  <c r="P5" i="8"/>
  <c r="P4" i="8"/>
  <c r="E37" i="3"/>
  <c r="E36" i="3"/>
  <c r="G20" i="8" l="1"/>
  <c r="G4" i="8"/>
  <c r="G5" i="8"/>
  <c r="G6" i="8"/>
  <c r="G7" i="8"/>
  <c r="J5" i="8" s="1"/>
  <c r="L5" i="8" s="1"/>
  <c r="D34" i="3" s="1"/>
  <c r="E34" i="3" s="1"/>
  <c r="G8" i="8"/>
  <c r="G9" i="8"/>
  <c r="G10" i="8"/>
  <c r="G11" i="8"/>
  <c r="G12" i="8"/>
  <c r="G13" i="8"/>
  <c r="G14" i="8"/>
  <c r="G15" i="8"/>
  <c r="G16" i="8"/>
  <c r="G17" i="8"/>
  <c r="G18" i="8"/>
  <c r="G19" i="8"/>
  <c r="G3" i="8"/>
  <c r="J3" i="8" s="1"/>
  <c r="L3" i="8" s="1"/>
  <c r="D32" i="3" s="1"/>
  <c r="E32" i="3" s="1"/>
  <c r="C4" i="8"/>
  <c r="C5" i="8"/>
  <c r="C6" i="8"/>
  <c r="C7" i="8"/>
  <c r="C8" i="8"/>
  <c r="C9" i="8"/>
  <c r="C10" i="8"/>
  <c r="C11" i="8"/>
  <c r="C12" i="8"/>
  <c r="C13" i="8"/>
  <c r="C14" i="8"/>
  <c r="C15" i="8"/>
  <c r="C16" i="8"/>
  <c r="C17" i="8"/>
  <c r="C18" i="8"/>
  <c r="C19" i="8"/>
  <c r="C20" i="8"/>
  <c r="C3" i="8"/>
  <c r="B4" i="8"/>
  <c r="B5" i="8"/>
  <c r="B6" i="8"/>
  <c r="B7" i="8"/>
  <c r="B8" i="8"/>
  <c r="B9" i="8"/>
  <c r="B10" i="8"/>
  <c r="B11" i="8"/>
  <c r="B12" i="8"/>
  <c r="B13" i="8"/>
  <c r="B14" i="8"/>
  <c r="B15" i="8"/>
  <c r="B16" i="8"/>
  <c r="B17" i="8"/>
  <c r="B18" i="8"/>
  <c r="B19" i="8"/>
  <c r="B20" i="8"/>
  <c r="B3" i="8"/>
  <c r="E31" i="3"/>
  <c r="E30" i="3"/>
  <c r="E29" i="3"/>
  <c r="E28" i="3"/>
  <c r="E27" i="3"/>
  <c r="E26" i="3"/>
  <c r="J6" i="8" l="1"/>
  <c r="L6" i="8" s="1"/>
  <c r="D35" i="3" s="1"/>
  <c r="E35" i="3" s="1"/>
  <c r="J4" i="8"/>
  <c r="L4" i="8" s="1"/>
  <c r="D33" i="3" s="1"/>
  <c r="E33" i="3" s="1"/>
  <c r="B19" i="7"/>
  <c r="B12" i="7"/>
  <c r="B47" i="7"/>
  <c r="B46" i="7"/>
  <c r="B45" i="7"/>
  <c r="AD13" i="4" l="1"/>
  <c r="AD12" i="4"/>
  <c r="AD11" i="4"/>
  <c r="AD10" i="4"/>
  <c r="AD5" i="4"/>
  <c r="AD6" i="4"/>
  <c r="AD7" i="4"/>
  <c r="AD8" i="4"/>
  <c r="AD9" i="4"/>
  <c r="AD4" i="4"/>
  <c r="AC4" i="4" l="1"/>
  <c r="B33" i="7"/>
  <c r="B34" i="7"/>
  <c r="B35" i="7"/>
  <c r="B36" i="7"/>
  <c r="B32" i="7"/>
  <c r="B28" i="7"/>
  <c r="B27" i="7"/>
  <c r="B26" i="7"/>
  <c r="X15" i="4"/>
  <c r="Z15" i="4"/>
  <c r="Y15" i="4"/>
  <c r="Z29" i="4"/>
  <c r="Y29" i="4"/>
  <c r="X29" i="4"/>
  <c r="J19" i="5"/>
  <c r="B18" i="7" l="1"/>
  <c r="B17" i="7"/>
  <c r="B16" i="7"/>
  <c r="B11" i="7"/>
  <c r="B10" i="7"/>
  <c r="B9" i="7"/>
  <c r="B8" i="7"/>
  <c r="B7" i="7"/>
  <c r="B6" i="7"/>
  <c r="J21" i="5"/>
  <c r="C26" i="4"/>
  <c r="E26" i="4" s="1"/>
  <c r="R12" i="4" s="1"/>
  <c r="B26" i="4"/>
  <c r="M12" i="2"/>
  <c r="B21" i="4"/>
  <c r="M9" i="2"/>
  <c r="C21" i="4" s="1"/>
  <c r="E21" i="4" s="1"/>
  <c r="R13" i="4" s="1"/>
  <c r="M8" i="2"/>
  <c r="S13" i="4" l="1"/>
  <c r="C17" i="7"/>
  <c r="S12" i="4"/>
  <c r="C18" i="7"/>
  <c r="D21" i="4"/>
  <c r="F21" i="4" s="1"/>
  <c r="D26" i="4"/>
  <c r="F26" i="4" s="1"/>
  <c r="B5" i="7"/>
  <c r="T12" i="4" l="1"/>
  <c r="C21" i="5"/>
  <c r="T13" i="4"/>
  <c r="C20" i="5"/>
  <c r="C32" i="5"/>
  <c r="AC12" i="4" l="1"/>
  <c r="AB12" i="4"/>
  <c r="AC13" i="4"/>
  <c r="AB13" i="4"/>
  <c r="G21" i="5"/>
  <c r="T21" i="5"/>
  <c r="M33" i="2"/>
  <c r="J27" i="4" s="1"/>
  <c r="K27" i="4" s="1"/>
  <c r="O21" i="5" l="1"/>
  <c r="P21" i="5" s="1"/>
  <c r="J20" i="5" l="1"/>
  <c r="G124" i="6" l="1"/>
  <c r="G123" i="6"/>
  <c r="E125" i="6"/>
  <c r="E97" i="6"/>
  <c r="G88" i="6"/>
  <c r="G89" i="6"/>
  <c r="G90" i="6"/>
  <c r="G91" i="6"/>
  <c r="G92" i="6"/>
  <c r="G93" i="6"/>
  <c r="G94" i="6"/>
  <c r="G95" i="6"/>
  <c r="G96" i="6"/>
  <c r="G87" i="6"/>
  <c r="G125" i="6" l="1"/>
  <c r="G126" i="6" s="1"/>
  <c r="N18" i="5" s="1"/>
  <c r="G97" i="6"/>
  <c r="G98" i="6" s="1"/>
  <c r="N11" i="5" s="1"/>
  <c r="C89" i="6"/>
  <c r="C93" i="6"/>
  <c r="C87" i="6"/>
  <c r="E111" i="6" l="1"/>
  <c r="G107" i="6"/>
  <c r="G108" i="6"/>
  <c r="G109" i="6"/>
  <c r="G110" i="6"/>
  <c r="G106" i="6"/>
  <c r="E84" i="6"/>
  <c r="G83" i="6"/>
  <c r="G82" i="6"/>
  <c r="G81" i="6"/>
  <c r="G80" i="6"/>
  <c r="G79" i="6"/>
  <c r="G78" i="6"/>
  <c r="G75" i="6"/>
  <c r="G76" i="6"/>
  <c r="G77" i="6"/>
  <c r="G74" i="6"/>
  <c r="E68" i="6"/>
  <c r="G48" i="6"/>
  <c r="G49" i="6"/>
  <c r="G50" i="6"/>
  <c r="G51" i="6"/>
  <c r="G52" i="6"/>
  <c r="G53" i="6"/>
  <c r="G54" i="6"/>
  <c r="G55" i="6"/>
  <c r="G56" i="6"/>
  <c r="G57" i="6"/>
  <c r="G58" i="6"/>
  <c r="G59" i="6"/>
  <c r="G60" i="6"/>
  <c r="G61" i="6"/>
  <c r="G62" i="6"/>
  <c r="G63" i="6"/>
  <c r="G64" i="6"/>
  <c r="G65" i="6"/>
  <c r="G66" i="6"/>
  <c r="G67" i="6"/>
  <c r="G47" i="6"/>
  <c r="E44" i="6"/>
  <c r="G42" i="6"/>
  <c r="G43" i="6"/>
  <c r="G41" i="6"/>
  <c r="E38" i="6"/>
  <c r="G34" i="6"/>
  <c r="G35" i="6"/>
  <c r="G36" i="6"/>
  <c r="G37" i="6"/>
  <c r="G33" i="6"/>
  <c r="E30" i="6"/>
  <c r="G21" i="6"/>
  <c r="G22" i="6"/>
  <c r="G23" i="6"/>
  <c r="G24" i="6"/>
  <c r="G25" i="6"/>
  <c r="G26" i="6"/>
  <c r="G27" i="6"/>
  <c r="G28" i="6"/>
  <c r="G29" i="6"/>
  <c r="G20" i="6"/>
  <c r="C65" i="6"/>
  <c r="C13" i="6"/>
  <c r="C14" i="6"/>
  <c r="C15" i="6"/>
  <c r="C135" i="6"/>
  <c r="C136" i="6"/>
  <c r="C137" i="6"/>
  <c r="C133" i="6"/>
  <c r="C134" i="6"/>
  <c r="C131" i="6"/>
  <c r="C132" i="6"/>
  <c r="C5" i="6"/>
  <c r="C6" i="6"/>
  <c r="C7" i="6"/>
  <c r="C8" i="6"/>
  <c r="C9" i="6"/>
  <c r="C10" i="6"/>
  <c r="C11" i="6"/>
  <c r="C12" i="6"/>
  <c r="C128" i="6"/>
  <c r="C129" i="6"/>
  <c r="C130" i="6"/>
  <c r="C4" i="6"/>
  <c r="J5" i="5"/>
  <c r="J6" i="5"/>
  <c r="J7" i="5"/>
  <c r="J8" i="5"/>
  <c r="J9" i="5"/>
  <c r="J10" i="5"/>
  <c r="J11" i="5"/>
  <c r="J12" i="5"/>
  <c r="J13" i="5"/>
  <c r="J14" i="5"/>
  <c r="J15" i="5"/>
  <c r="J16" i="5"/>
  <c r="J17" i="5"/>
  <c r="J18" i="5"/>
  <c r="J4" i="5"/>
  <c r="G111" i="6" l="1"/>
  <c r="G112" i="6" s="1"/>
  <c r="N14" i="5" s="1"/>
  <c r="G44" i="6"/>
  <c r="G45" i="6" s="1"/>
  <c r="N7" i="5" s="1"/>
  <c r="G68" i="6"/>
  <c r="G69" i="6" s="1"/>
  <c r="N8" i="5" s="1"/>
  <c r="G84" i="6"/>
  <c r="G85" i="6" s="1"/>
  <c r="N10" i="5" s="1"/>
  <c r="G38" i="6"/>
  <c r="G39" i="6" s="1"/>
  <c r="N6" i="5" s="1"/>
  <c r="G30" i="6"/>
  <c r="G31" i="6" s="1"/>
  <c r="N5" i="5" s="1"/>
  <c r="E25" i="3"/>
  <c r="E24" i="3"/>
  <c r="E23" i="3"/>
  <c r="E22" i="3"/>
  <c r="E21" i="3"/>
  <c r="E20" i="3"/>
  <c r="E19" i="3"/>
  <c r="I50" i="4"/>
  <c r="U43" i="1"/>
  <c r="U42" i="1"/>
  <c r="B49" i="4"/>
  <c r="C120" i="6" s="1"/>
  <c r="I46" i="4"/>
  <c r="C117" i="6" s="1"/>
  <c r="B45" i="4"/>
  <c r="C114" i="6" s="1"/>
  <c r="I38" i="4"/>
  <c r="C100" i="6" s="1"/>
  <c r="B41" i="4"/>
  <c r="C103" i="6" s="1"/>
  <c r="B31" i="4"/>
  <c r="C71" i="6" s="1"/>
  <c r="M28" i="2"/>
  <c r="J46" i="4" s="1"/>
  <c r="M29" i="2"/>
  <c r="C49" i="4" s="1"/>
  <c r="M30" i="2"/>
  <c r="J38" i="4" s="1"/>
  <c r="M31" i="2"/>
  <c r="C41" i="4" s="1"/>
  <c r="M32" i="2"/>
  <c r="C45" i="4" s="1"/>
  <c r="B16" i="4"/>
  <c r="B15" i="4"/>
  <c r="B14" i="4"/>
  <c r="I61" i="4"/>
  <c r="I62" i="4"/>
  <c r="I63" i="4"/>
  <c r="I64" i="4"/>
  <c r="I21" i="4"/>
  <c r="C47" i="6" s="1"/>
  <c r="I17" i="4"/>
  <c r="C41" i="6" s="1"/>
  <c r="I12" i="4"/>
  <c r="C33" i="6" s="1"/>
  <c r="I8" i="4"/>
  <c r="C28" i="6" s="1"/>
  <c r="I5" i="4"/>
  <c r="C23" i="6" s="1"/>
  <c r="I6" i="4"/>
  <c r="C24" i="6" s="1"/>
  <c r="I23" i="4"/>
  <c r="C57" i="6" s="1"/>
  <c r="I60" i="4"/>
  <c r="I59" i="4"/>
  <c r="B5" i="4"/>
  <c r="B6" i="4"/>
  <c r="B7" i="4"/>
  <c r="B8" i="4"/>
  <c r="B9" i="4"/>
  <c r="B10" i="4"/>
  <c r="B11" i="4"/>
  <c r="B12" i="4"/>
  <c r="I55" i="4"/>
  <c r="I56" i="4"/>
  <c r="I57" i="4"/>
  <c r="I58" i="4"/>
  <c r="B4" i="4"/>
  <c r="E18" i="3"/>
  <c r="E17" i="3"/>
  <c r="I42" i="4"/>
  <c r="C106" i="6" s="1"/>
  <c r="U41" i="1"/>
  <c r="Z41" i="1" s="1"/>
  <c r="E16" i="3"/>
  <c r="F35" i="4"/>
  <c r="E35" i="4"/>
  <c r="R22" i="4" s="1"/>
  <c r="I25" i="4"/>
  <c r="C63" i="6" s="1"/>
  <c r="I34" i="4"/>
  <c r="C80" i="6" s="1"/>
  <c r="I24" i="4"/>
  <c r="C61" i="6" s="1"/>
  <c r="I31" i="4"/>
  <c r="C74" i="6" s="1"/>
  <c r="I32" i="4"/>
  <c r="C78" i="6" s="1"/>
  <c r="I33" i="4"/>
  <c r="C79" i="6" s="1"/>
  <c r="I22" i="4"/>
  <c r="C48" i="6" s="1"/>
  <c r="M15" i="2"/>
  <c r="J22" i="4" s="1"/>
  <c r="D15" i="1"/>
  <c r="E15" i="1"/>
  <c r="F15" i="2"/>
  <c r="E15" i="2"/>
  <c r="E16" i="2"/>
  <c r="F16" i="2"/>
  <c r="I7" i="4"/>
  <c r="C25" i="6" s="1"/>
  <c r="M10" i="2"/>
  <c r="J8" i="4" s="1"/>
  <c r="K8" i="4" s="1"/>
  <c r="F10" i="2"/>
  <c r="E10" i="2"/>
  <c r="I4" i="4"/>
  <c r="C20" i="6" s="1"/>
  <c r="U40" i="1"/>
  <c r="Z40" i="1" s="1"/>
  <c r="E14" i="3"/>
  <c r="E15" i="3"/>
  <c r="E40" i="1"/>
  <c r="D40" i="1"/>
  <c r="L40" i="1" s="1"/>
  <c r="M23" i="2"/>
  <c r="J34" i="4" s="1"/>
  <c r="K34" i="4" s="1"/>
  <c r="M24" i="2"/>
  <c r="J24" i="4" s="1"/>
  <c r="M25" i="2"/>
  <c r="J25" i="4" s="1"/>
  <c r="K25" i="4" s="1"/>
  <c r="M26" i="2"/>
  <c r="J42" i="4" s="1"/>
  <c r="L42" i="4" s="1"/>
  <c r="R10" i="4" s="1"/>
  <c r="M27" i="2"/>
  <c r="C31" i="4" s="1"/>
  <c r="M21" i="2"/>
  <c r="J33" i="4" s="1"/>
  <c r="K33" i="4" s="1"/>
  <c r="M22" i="2"/>
  <c r="M13" i="2"/>
  <c r="J23" i="4" s="1"/>
  <c r="K23" i="4" s="1"/>
  <c r="M14" i="2"/>
  <c r="J21" i="4" s="1"/>
  <c r="M16" i="2"/>
  <c r="M17" i="2"/>
  <c r="M18" i="2"/>
  <c r="J31" i="4" s="1"/>
  <c r="M19" i="2"/>
  <c r="J26" i="4" s="1"/>
  <c r="K26" i="4" s="1"/>
  <c r="M20" i="2"/>
  <c r="J32" i="4" s="1"/>
  <c r="K32" i="4" s="1"/>
  <c r="E13" i="2"/>
  <c r="F13" i="2"/>
  <c r="M5" i="2"/>
  <c r="J5" i="4" s="1"/>
  <c r="K5" i="4" s="1"/>
  <c r="M6" i="2"/>
  <c r="J6" i="4" s="1"/>
  <c r="K6" i="4" s="1"/>
  <c r="M7" i="2"/>
  <c r="J7" i="4" s="1"/>
  <c r="K7" i="4" s="1"/>
  <c r="J17" i="4"/>
  <c r="K17" i="4" s="1"/>
  <c r="M17" i="4" s="1"/>
  <c r="T7" i="4" s="1"/>
  <c r="M11" i="2"/>
  <c r="J12" i="4" s="1"/>
  <c r="K12" i="4" s="1"/>
  <c r="M12" i="4" s="1"/>
  <c r="T6" i="4" s="1"/>
  <c r="M4" i="2"/>
  <c r="J4" i="4" s="1"/>
  <c r="U13" i="1"/>
  <c r="Q13" i="1"/>
  <c r="U17" i="1"/>
  <c r="Z17" i="1" s="1"/>
  <c r="E13" i="3"/>
  <c r="Q36" i="1"/>
  <c r="U39" i="1"/>
  <c r="Z39" i="1" s="1"/>
  <c r="Q39" i="1"/>
  <c r="Q38" i="1"/>
  <c r="Q37" i="1"/>
  <c r="U38" i="1"/>
  <c r="U37" i="1"/>
  <c r="Q35" i="1"/>
  <c r="U35" i="1"/>
  <c r="H33" i="1"/>
  <c r="I33" i="1" s="1"/>
  <c r="E33" i="1"/>
  <c r="D33" i="1"/>
  <c r="L33" i="1" s="1"/>
  <c r="U34" i="1"/>
  <c r="Q34" i="1"/>
  <c r="U33" i="1"/>
  <c r="U31" i="1"/>
  <c r="Q31" i="1"/>
  <c r="U30" i="1"/>
  <c r="Q30" i="1"/>
  <c r="D2" i="1"/>
  <c r="L2" i="1" s="1"/>
  <c r="E2" i="1"/>
  <c r="H2" i="1"/>
  <c r="I2" i="1" s="1"/>
  <c r="Q2" i="1"/>
  <c r="U2" i="1"/>
  <c r="Q25" i="1"/>
  <c r="U25" i="1"/>
  <c r="U24" i="1"/>
  <c r="Q24" i="1"/>
  <c r="U29" i="1"/>
  <c r="Q29" i="1"/>
  <c r="U28" i="1"/>
  <c r="Q28" i="1"/>
  <c r="U27" i="1"/>
  <c r="Q27" i="1"/>
  <c r="U26" i="1"/>
  <c r="Q26" i="1"/>
  <c r="Q23" i="1"/>
  <c r="U23" i="1"/>
  <c r="U22" i="1"/>
  <c r="D19" i="1"/>
  <c r="E19" i="1"/>
  <c r="Q32" i="1"/>
  <c r="Q40" i="1"/>
  <c r="Q16" i="1"/>
  <c r="Q11" i="1"/>
  <c r="Q9" i="1"/>
  <c r="X9" i="1" s="1"/>
  <c r="Q6" i="1"/>
  <c r="Q4" i="1"/>
  <c r="Q3" i="1"/>
  <c r="Q18" i="1"/>
  <c r="Q12" i="1"/>
  <c r="Q14" i="1"/>
  <c r="Q15" i="1"/>
  <c r="Q17" i="1"/>
  <c r="Q8" i="1"/>
  <c r="X8" i="1" s="1"/>
  <c r="Q10" i="1"/>
  <c r="Q5" i="1"/>
  <c r="Q7" i="1"/>
  <c r="Q21" i="1"/>
  <c r="Q19" i="1"/>
  <c r="U21" i="1"/>
  <c r="U20" i="1"/>
  <c r="U19" i="1"/>
  <c r="U15" i="1"/>
  <c r="Z8" i="1"/>
  <c r="U8" i="1"/>
  <c r="U12" i="1"/>
  <c r="Z12" i="1" s="1"/>
  <c r="H12" i="1"/>
  <c r="I12" i="1" s="1"/>
  <c r="E12" i="1"/>
  <c r="D12" i="1"/>
  <c r="U10" i="1"/>
  <c r="U5" i="1"/>
  <c r="U3" i="1"/>
  <c r="U4" i="1"/>
  <c r="U6" i="1"/>
  <c r="U7" i="1"/>
  <c r="Z7" i="1" s="1"/>
  <c r="U9" i="1"/>
  <c r="U11" i="1"/>
  <c r="U14" i="1"/>
  <c r="U16" i="1"/>
  <c r="U18" i="1"/>
  <c r="Z18" i="1" s="1"/>
  <c r="U32" i="1"/>
  <c r="U36" i="1"/>
  <c r="Z36" i="1" s="1"/>
  <c r="H36" i="1"/>
  <c r="I36" i="1" s="1"/>
  <c r="L21" i="4" l="1"/>
  <c r="M21" i="4" s="1"/>
  <c r="C7" i="5"/>
  <c r="T7" i="5" s="1"/>
  <c r="AA7" i="4"/>
  <c r="AB7" i="4"/>
  <c r="C27" i="7"/>
  <c r="E27" i="7" s="1"/>
  <c r="S22" i="4"/>
  <c r="T22" i="4"/>
  <c r="S10" i="4"/>
  <c r="C10" i="7"/>
  <c r="C6" i="5"/>
  <c r="T6" i="5" s="1"/>
  <c r="AC6" i="4"/>
  <c r="AA6" i="4"/>
  <c r="K31" i="4"/>
  <c r="M31" i="4" s="1"/>
  <c r="L31" i="4"/>
  <c r="R21" i="4" s="1"/>
  <c r="K21" i="4"/>
  <c r="C12" i="4"/>
  <c r="D12" i="4" s="1"/>
  <c r="E12" i="6"/>
  <c r="G12" i="6" s="1"/>
  <c r="C14" i="4"/>
  <c r="D14" i="4" s="1"/>
  <c r="E13" i="6"/>
  <c r="G13" i="6" s="1"/>
  <c r="C16" i="4"/>
  <c r="D16" i="4" s="1"/>
  <c r="E15" i="6"/>
  <c r="G15" i="6" s="1"/>
  <c r="J55" i="4"/>
  <c r="E128" i="6"/>
  <c r="C7" i="4"/>
  <c r="D7" i="4" s="1"/>
  <c r="E7" i="6"/>
  <c r="G7" i="6" s="1"/>
  <c r="C15" i="4"/>
  <c r="D15" i="4" s="1"/>
  <c r="E14" i="6"/>
  <c r="G14" i="6" s="1"/>
  <c r="J63" i="4"/>
  <c r="K63" i="4" s="1"/>
  <c r="E136" i="6"/>
  <c r="G136" i="6" s="1"/>
  <c r="C9" i="4"/>
  <c r="D9" i="4" s="1"/>
  <c r="E9" i="6"/>
  <c r="G9" i="6" s="1"/>
  <c r="C6" i="4"/>
  <c r="D6" i="4" s="1"/>
  <c r="E6" i="6"/>
  <c r="G6" i="6" s="1"/>
  <c r="G7" i="5"/>
  <c r="O7" i="5" s="1"/>
  <c r="P7" i="5" s="1"/>
  <c r="E41" i="4"/>
  <c r="R24" i="4" s="1"/>
  <c r="E103" i="6"/>
  <c r="G103" i="6" s="1"/>
  <c r="G104" i="6" s="1"/>
  <c r="N13" i="5" s="1"/>
  <c r="K55" i="4"/>
  <c r="E45" i="4"/>
  <c r="R25" i="4" s="1"/>
  <c r="E114" i="6"/>
  <c r="G114" i="6" s="1"/>
  <c r="G115" i="6" s="1"/>
  <c r="N15" i="5" s="1"/>
  <c r="L46" i="4"/>
  <c r="R26" i="4" s="1"/>
  <c r="E117" i="6"/>
  <c r="G117" i="6" s="1"/>
  <c r="G118" i="6" s="1"/>
  <c r="N16" i="5" s="1"/>
  <c r="G6" i="5"/>
  <c r="O6" i="5" s="1"/>
  <c r="P6" i="5" s="1"/>
  <c r="E31" i="4"/>
  <c r="R9" i="4" s="1"/>
  <c r="E71" i="6"/>
  <c r="G71" i="6" s="1"/>
  <c r="G72" i="6" s="1"/>
  <c r="N9" i="5" s="1"/>
  <c r="L38" i="4"/>
  <c r="R23" i="4" s="1"/>
  <c r="E100" i="6"/>
  <c r="G100" i="6" s="1"/>
  <c r="G101" i="6" s="1"/>
  <c r="N12" i="5" s="1"/>
  <c r="D49" i="4"/>
  <c r="F49" i="4" s="1"/>
  <c r="E120" i="6"/>
  <c r="G120" i="6" s="1"/>
  <c r="G121" i="6" s="1"/>
  <c r="N17" i="5" s="1"/>
  <c r="Z42" i="1"/>
  <c r="J50" i="4" s="1"/>
  <c r="L50" i="4" s="1"/>
  <c r="R11" i="4" s="1"/>
  <c r="Z13" i="1"/>
  <c r="Z37" i="1"/>
  <c r="Z24" i="1"/>
  <c r="X13" i="1"/>
  <c r="Z33" i="1"/>
  <c r="Z30" i="1"/>
  <c r="X2" i="1"/>
  <c r="L17" i="4"/>
  <c r="R7" i="4" s="1"/>
  <c r="K22" i="4"/>
  <c r="L12" i="4"/>
  <c r="R6" i="4" s="1"/>
  <c r="L4" i="4"/>
  <c r="R5" i="4" s="1"/>
  <c r="K4" i="4"/>
  <c r="M4" i="4" s="1"/>
  <c r="T5" i="4" s="1"/>
  <c r="K42" i="4"/>
  <c r="M42" i="4" s="1"/>
  <c r="T10" i="4" s="1"/>
  <c r="D41" i="4"/>
  <c r="F41" i="4" s="1"/>
  <c r="K24" i="4"/>
  <c r="D45" i="4"/>
  <c r="F45" i="4" s="1"/>
  <c r="E49" i="4"/>
  <c r="R27" i="4" s="1"/>
  <c r="K38" i="4"/>
  <c r="M38" i="4" s="1"/>
  <c r="K46" i="4"/>
  <c r="M46" i="4" s="1"/>
  <c r="D31" i="4"/>
  <c r="F31" i="4" s="1"/>
  <c r="T9" i="4" s="1"/>
  <c r="X21" i="1"/>
  <c r="Z22" i="1"/>
  <c r="Z26" i="1"/>
  <c r="X35" i="1"/>
  <c r="X34" i="1"/>
  <c r="X33" i="1"/>
  <c r="Z28" i="1"/>
  <c r="Z10" i="1"/>
  <c r="Z19" i="1"/>
  <c r="X19" i="1"/>
  <c r="X20" i="1"/>
  <c r="Z15" i="1"/>
  <c r="X12" i="1"/>
  <c r="Y12" i="1" s="1"/>
  <c r="Y8" i="1"/>
  <c r="L12" i="1"/>
  <c r="Z5" i="1"/>
  <c r="Z2" i="1"/>
  <c r="E4" i="3"/>
  <c r="E5" i="3"/>
  <c r="E6" i="3"/>
  <c r="E7" i="3"/>
  <c r="E8" i="3"/>
  <c r="E9" i="3"/>
  <c r="E10" i="3"/>
  <c r="E11" i="3"/>
  <c r="E12" i="3"/>
  <c r="E3" i="3"/>
  <c r="E2" i="3"/>
  <c r="R8" i="4" l="1"/>
  <c r="S7" i="4"/>
  <c r="E8" i="7" s="1"/>
  <c r="C8" i="7"/>
  <c r="C32" i="7"/>
  <c r="S23" i="4"/>
  <c r="T23" i="4"/>
  <c r="S5" i="4"/>
  <c r="C6" i="7"/>
  <c r="S26" i="4"/>
  <c r="C35" i="7"/>
  <c r="T26" i="4"/>
  <c r="E10" i="7"/>
  <c r="C5" i="5"/>
  <c r="T5" i="5" s="1"/>
  <c r="AC5" i="4"/>
  <c r="AB5" i="4"/>
  <c r="S6" i="4"/>
  <c r="C7" i="7"/>
  <c r="C16" i="7"/>
  <c r="S9" i="4"/>
  <c r="C33" i="7"/>
  <c r="S24" i="4"/>
  <c r="T24" i="4"/>
  <c r="C26" i="7"/>
  <c r="S21" i="4"/>
  <c r="T21" i="4"/>
  <c r="AB22" i="4"/>
  <c r="AC22" i="4"/>
  <c r="C11" i="5"/>
  <c r="C9" i="5"/>
  <c r="T9" i="5" s="1"/>
  <c r="AC9" i="4"/>
  <c r="AA9" i="4"/>
  <c r="C36" i="7"/>
  <c r="S27" i="4"/>
  <c r="T27" i="4"/>
  <c r="C14" i="5"/>
  <c r="T14" i="5" s="1"/>
  <c r="AC10" i="4"/>
  <c r="AA10" i="4"/>
  <c r="C34" i="7"/>
  <c r="S25" i="4"/>
  <c r="T25" i="4"/>
  <c r="S8" i="4"/>
  <c r="C9" i="7"/>
  <c r="C4" i="4"/>
  <c r="D4" i="4" s="1"/>
  <c r="E4" i="6"/>
  <c r="G4" i="6" s="1"/>
  <c r="J56" i="4"/>
  <c r="K56" i="4" s="1"/>
  <c r="E129" i="6"/>
  <c r="G129" i="6" s="1"/>
  <c r="C5" i="4"/>
  <c r="D5" i="4" s="1"/>
  <c r="E5" i="6"/>
  <c r="G5" i="6" s="1"/>
  <c r="C11" i="4"/>
  <c r="D11" i="4" s="1"/>
  <c r="E11" i="6"/>
  <c r="G11" i="6" s="1"/>
  <c r="C8" i="4"/>
  <c r="D8" i="4" s="1"/>
  <c r="E8" i="6"/>
  <c r="G8" i="6" s="1"/>
  <c r="J58" i="4"/>
  <c r="K58" i="4" s="1"/>
  <c r="E131" i="6"/>
  <c r="G131" i="6" s="1"/>
  <c r="G128" i="6"/>
  <c r="J64" i="4"/>
  <c r="K64" i="4" s="1"/>
  <c r="E137" i="6"/>
  <c r="G137" i="6" s="1"/>
  <c r="J60" i="4"/>
  <c r="K60" i="4" s="1"/>
  <c r="E133" i="6"/>
  <c r="G133" i="6" s="1"/>
  <c r="J59" i="4"/>
  <c r="K59" i="4" s="1"/>
  <c r="E132" i="6"/>
  <c r="G132" i="6" s="1"/>
  <c r="J61" i="4"/>
  <c r="K61" i="4" s="1"/>
  <c r="E134" i="6"/>
  <c r="G134" i="6" s="1"/>
  <c r="J57" i="4"/>
  <c r="K57" i="4" s="1"/>
  <c r="E130" i="6"/>
  <c r="G130" i="6" s="1"/>
  <c r="J62" i="4"/>
  <c r="K62" i="4" s="1"/>
  <c r="E135" i="6"/>
  <c r="G135" i="6" s="1"/>
  <c r="C10" i="4"/>
  <c r="D10" i="4" s="1"/>
  <c r="E10" i="6"/>
  <c r="G10" i="6" s="1"/>
  <c r="K50" i="4"/>
  <c r="G14" i="5"/>
  <c r="O14" i="5" s="1"/>
  <c r="P14" i="5" s="1"/>
  <c r="Y33" i="1"/>
  <c r="T8" i="4"/>
  <c r="Y20" i="1"/>
  <c r="H5" i="1"/>
  <c r="I5" i="1" s="1"/>
  <c r="H7" i="1"/>
  <c r="I7" i="1" s="1"/>
  <c r="H8" i="1"/>
  <c r="I8" i="1" s="1"/>
  <c r="H10" i="1"/>
  <c r="I10" i="1" s="1"/>
  <c r="H13" i="1"/>
  <c r="I13" i="1" s="1"/>
  <c r="H15" i="1"/>
  <c r="I15" i="1" s="1"/>
  <c r="H17" i="1"/>
  <c r="I17" i="1" s="1"/>
  <c r="H18" i="1"/>
  <c r="I18" i="1" s="1"/>
  <c r="H19" i="1"/>
  <c r="I19" i="1" s="1"/>
  <c r="H22" i="1"/>
  <c r="I22" i="1" s="1"/>
  <c r="H24" i="1"/>
  <c r="I24" i="1" s="1"/>
  <c r="H26" i="1"/>
  <c r="I26" i="1" s="1"/>
  <c r="H28" i="1"/>
  <c r="I28" i="1" s="1"/>
  <c r="H30" i="1"/>
  <c r="I30" i="1" s="1"/>
  <c r="H37" i="1"/>
  <c r="I37" i="1" s="1"/>
  <c r="H39" i="1"/>
  <c r="I39" i="1" s="1"/>
  <c r="X15" i="1"/>
  <c r="F26" i="2"/>
  <c r="E26" i="2"/>
  <c r="F25" i="2"/>
  <c r="E25" i="2"/>
  <c r="F24" i="2"/>
  <c r="E24" i="2"/>
  <c r="F23" i="2"/>
  <c r="E23" i="2"/>
  <c r="F22" i="2"/>
  <c r="E22" i="2"/>
  <c r="F21" i="2"/>
  <c r="E21" i="2"/>
  <c r="F20" i="2"/>
  <c r="E20" i="2"/>
  <c r="F19" i="2"/>
  <c r="E19" i="2"/>
  <c r="F18" i="2"/>
  <c r="E18" i="2"/>
  <c r="F17" i="2"/>
  <c r="E17" i="2"/>
  <c r="F14" i="2"/>
  <c r="E14" i="2"/>
  <c r="F11" i="2"/>
  <c r="E11" i="2"/>
  <c r="F8" i="2"/>
  <c r="E8" i="2"/>
  <c r="F7" i="2"/>
  <c r="E7" i="2"/>
  <c r="F6" i="2"/>
  <c r="E6" i="2"/>
  <c r="F5" i="2"/>
  <c r="E5" i="2"/>
  <c r="F4" i="2"/>
  <c r="E4" i="2"/>
  <c r="E5" i="1"/>
  <c r="E7" i="1"/>
  <c r="E8" i="1"/>
  <c r="E10" i="1"/>
  <c r="E13" i="1"/>
  <c r="E17" i="1"/>
  <c r="E18" i="1"/>
  <c r="E22" i="1"/>
  <c r="E24" i="1"/>
  <c r="E26" i="1"/>
  <c r="E28" i="1"/>
  <c r="E30" i="1"/>
  <c r="E36" i="1"/>
  <c r="E37" i="1"/>
  <c r="E39" i="1"/>
  <c r="D5" i="1"/>
  <c r="D7" i="1"/>
  <c r="X7" i="1" s="1"/>
  <c r="Y7" i="1" s="1"/>
  <c r="D10" i="1"/>
  <c r="D13" i="1"/>
  <c r="D17" i="1"/>
  <c r="D18" i="1"/>
  <c r="D22" i="1"/>
  <c r="X23" i="1" s="1"/>
  <c r="D24" i="1"/>
  <c r="D26" i="1"/>
  <c r="X26" i="1" s="1"/>
  <c r="D28" i="1"/>
  <c r="D30" i="1"/>
  <c r="D36" i="1"/>
  <c r="D37" i="1"/>
  <c r="D39" i="1"/>
  <c r="G5" i="5" l="1"/>
  <c r="O5" i="5" s="1"/>
  <c r="P5" i="5" s="1"/>
  <c r="G9" i="5"/>
  <c r="O9" i="5" s="1"/>
  <c r="P9" i="5" s="1"/>
  <c r="G138" i="6"/>
  <c r="E37" i="7"/>
  <c r="C37" i="7"/>
  <c r="C19" i="7" s="1"/>
  <c r="AA27" i="4"/>
  <c r="AB27" i="4"/>
  <c r="C17" i="5"/>
  <c r="E26" i="7"/>
  <c r="E7" i="7"/>
  <c r="AC26" i="4"/>
  <c r="AA26" i="4"/>
  <c r="C16" i="5"/>
  <c r="E6" i="7"/>
  <c r="AB21" i="4"/>
  <c r="AA21" i="4"/>
  <c r="C10" i="5"/>
  <c r="AB24" i="4"/>
  <c r="AC24" i="4"/>
  <c r="C13" i="5"/>
  <c r="E20" i="7"/>
  <c r="AB23" i="4"/>
  <c r="AA23" i="4"/>
  <c r="C12" i="5"/>
  <c r="S11" i="4"/>
  <c r="C11" i="7"/>
  <c r="F4" i="4"/>
  <c r="T4" i="4" s="1"/>
  <c r="AC25" i="4"/>
  <c r="AA25" i="4"/>
  <c r="C15" i="5"/>
  <c r="T11" i="5"/>
  <c r="G11" i="5"/>
  <c r="O11" i="5" s="1"/>
  <c r="P11" i="5" s="1"/>
  <c r="C8" i="5"/>
  <c r="T8" i="5" s="1"/>
  <c r="AC8" i="4"/>
  <c r="AB8" i="4"/>
  <c r="E9" i="7"/>
  <c r="E4" i="4"/>
  <c r="R4" i="4" s="1"/>
  <c r="M55" i="4"/>
  <c r="C4" i="5"/>
  <c r="L55" i="4"/>
  <c r="R28" i="4" s="1"/>
  <c r="M50" i="4"/>
  <c r="T11" i="4" s="1"/>
  <c r="E138" i="6"/>
  <c r="G139" i="6" s="1"/>
  <c r="L36" i="1"/>
  <c r="X36" i="1"/>
  <c r="Y36" i="1" s="1"/>
  <c r="L30" i="1"/>
  <c r="X30" i="1"/>
  <c r="X31" i="1"/>
  <c r="X32" i="1"/>
  <c r="L39" i="1"/>
  <c r="X39" i="1"/>
  <c r="Y39" i="1" s="1"/>
  <c r="X38" i="1"/>
  <c r="X37" i="1"/>
  <c r="L37" i="1"/>
  <c r="X24" i="1"/>
  <c r="X25" i="1"/>
  <c r="L28" i="1"/>
  <c r="X28" i="1"/>
  <c r="X29" i="1"/>
  <c r="Y29" i="1" s="1"/>
  <c r="L15" i="1"/>
  <c r="X16" i="1"/>
  <c r="Y15" i="1" s="1"/>
  <c r="L13" i="1"/>
  <c r="X14" i="1"/>
  <c r="Y14" i="1" s="1"/>
  <c r="L20" i="1"/>
  <c r="L26" i="1"/>
  <c r="X27" i="1"/>
  <c r="L18" i="1"/>
  <c r="X18" i="1"/>
  <c r="Y18" i="1" s="1"/>
  <c r="L22" i="1"/>
  <c r="X22" i="1"/>
  <c r="Y22" i="1" s="1"/>
  <c r="L24" i="1"/>
  <c r="L17" i="1"/>
  <c r="X17" i="1"/>
  <c r="Y17" i="1" s="1"/>
  <c r="X10" i="1"/>
  <c r="L10" i="1"/>
  <c r="X11" i="1"/>
  <c r="X6" i="1"/>
  <c r="Y5" i="1" s="1"/>
  <c r="X5" i="1"/>
  <c r="L5" i="1"/>
  <c r="L8" i="1"/>
  <c r="L7" i="1"/>
  <c r="X3" i="1"/>
  <c r="X4" i="1"/>
  <c r="G4" i="5" l="1"/>
  <c r="T4" i="5"/>
  <c r="AC29" i="4"/>
  <c r="G8" i="5"/>
  <c r="O8" i="5" s="1"/>
  <c r="P8" i="5" s="1"/>
  <c r="G16" i="5"/>
  <c r="O16" i="5" s="1"/>
  <c r="P16" i="5" s="1"/>
  <c r="T16" i="5"/>
  <c r="AB4" i="4"/>
  <c r="AA4" i="4"/>
  <c r="T13" i="5"/>
  <c r="G13" i="5"/>
  <c r="O13" i="5" s="1"/>
  <c r="P13" i="5" s="1"/>
  <c r="C18" i="5"/>
  <c r="T18" i="5" s="1"/>
  <c r="AB11" i="4"/>
  <c r="AC11" i="4"/>
  <c r="C5" i="7"/>
  <c r="E5" i="7" s="1"/>
  <c r="R15" i="4"/>
  <c r="T15" i="5"/>
  <c r="G15" i="5"/>
  <c r="O15" i="5" s="1"/>
  <c r="P15" i="5" s="1"/>
  <c r="T17" i="5"/>
  <c r="G17" i="5"/>
  <c r="O17" i="5" s="1"/>
  <c r="P17" i="5" s="1"/>
  <c r="T12" i="5"/>
  <c r="G12" i="5"/>
  <c r="O12" i="5" s="1"/>
  <c r="P12" i="5" s="1"/>
  <c r="T10" i="5"/>
  <c r="G10" i="5"/>
  <c r="O10" i="5" s="1"/>
  <c r="P10" i="5" s="1"/>
  <c r="C28" i="7"/>
  <c r="S28" i="4"/>
  <c r="T28" i="4"/>
  <c r="R29" i="4"/>
  <c r="E11" i="7"/>
  <c r="T20" i="5"/>
  <c r="S4" i="4"/>
  <c r="G20" i="5"/>
  <c r="O20" i="5" s="1"/>
  <c r="P20" i="5" s="1"/>
  <c r="Y31" i="1"/>
  <c r="Y3" i="1"/>
  <c r="Y37" i="1"/>
  <c r="Y27" i="1"/>
  <c r="Y25" i="1"/>
  <c r="Y10" i="1"/>
  <c r="G18" i="5" l="1"/>
  <c r="O18" i="5" s="1"/>
  <c r="P18" i="5" s="1"/>
  <c r="AA28" i="4"/>
  <c r="AA29" i="4" s="1"/>
  <c r="AB28" i="4"/>
  <c r="AB29" i="4" s="1"/>
  <c r="C19" i="5"/>
  <c r="T19" i="5" s="1"/>
  <c r="T29" i="4"/>
  <c r="T14" i="4" s="1"/>
  <c r="E28" i="7"/>
  <c r="E29" i="7" s="1"/>
  <c r="C29" i="7"/>
  <c r="C12" i="7" l="1"/>
  <c r="E12" i="7"/>
  <c r="E13" i="7" s="1"/>
  <c r="E21" i="7" s="1"/>
  <c r="C40" i="7" s="1"/>
  <c r="E38" i="7"/>
  <c r="G19" i="5"/>
  <c r="O19" i="5" s="1"/>
  <c r="P19" i="5" s="1"/>
  <c r="AB14" i="4"/>
  <c r="AB15" i="4" s="1"/>
  <c r="AA14" i="4"/>
  <c r="AA15" i="4" s="1"/>
  <c r="AC14" i="4"/>
  <c r="AC15" i="4" s="1"/>
  <c r="T15" i="4"/>
  <c r="S29" i="4" l="1"/>
  <c r="S14" i="4" s="1"/>
  <c r="C46" i="7"/>
  <c r="S15" i="4"/>
  <c r="C45" i="7"/>
  <c r="C47" i="7"/>
  <c r="G16" i="6"/>
  <c r="G17" i="6"/>
  <c r="N4" i="5"/>
  <c r="O4" i="5"/>
  <c r="P4" i="5"/>
  <c r="E16" i="6"/>
</calcChain>
</file>

<file path=xl/sharedStrings.xml><?xml version="1.0" encoding="utf-8"?>
<sst xmlns="http://schemas.openxmlformats.org/spreadsheetml/2006/main" count="880" uniqueCount="293">
  <si>
    <t>Cômodos</t>
  </si>
  <si>
    <t>Comprimento</t>
  </si>
  <si>
    <t>Largura</t>
  </si>
  <si>
    <t>Área</t>
  </si>
  <si>
    <t>Perímetro</t>
  </si>
  <si>
    <t>Pé-direito</t>
  </si>
  <si>
    <t>Altura plano de trabalho</t>
  </si>
  <si>
    <t>Distância teto ao plano</t>
  </si>
  <si>
    <t>Indice do Recinto (K)</t>
  </si>
  <si>
    <t>Eficiência do Recinto</t>
  </si>
  <si>
    <t>Previsão de Carga</t>
  </si>
  <si>
    <t>Classe</t>
  </si>
  <si>
    <t>Iluminância</t>
  </si>
  <si>
    <t>Luminária Escolhida</t>
  </si>
  <si>
    <t>Eficiência da Luminária</t>
  </si>
  <si>
    <t>Fator de Utilização</t>
  </si>
  <si>
    <t>Fator de Depreciação</t>
  </si>
  <si>
    <t>Lampada escolhida</t>
  </si>
  <si>
    <t>Fluxo Luminoso</t>
  </si>
  <si>
    <t>Número de Lampadas</t>
  </si>
  <si>
    <t>Suíte Hospedes</t>
  </si>
  <si>
    <t>A</t>
  </si>
  <si>
    <t>Plafon Quadrado com Cristal, WEE, MY-93128L/C6, Cromado</t>
  </si>
  <si>
    <t>WC Hospedes</t>
  </si>
  <si>
    <t>Lavabo</t>
  </si>
  <si>
    <t>Hall</t>
  </si>
  <si>
    <t>Área de Serviço</t>
  </si>
  <si>
    <t>Cozinha</t>
  </si>
  <si>
    <t>Sala de Estar</t>
  </si>
  <si>
    <t>Sala de Jantar</t>
  </si>
  <si>
    <t>Sacada</t>
  </si>
  <si>
    <t>Suite casal</t>
  </si>
  <si>
    <t>Suite 2</t>
  </si>
  <si>
    <t>Closet</t>
  </si>
  <si>
    <t>WC 1</t>
  </si>
  <si>
    <t>WC 2</t>
  </si>
  <si>
    <t>Banho</t>
  </si>
  <si>
    <t>Suite 1</t>
  </si>
  <si>
    <t>Escada</t>
  </si>
  <si>
    <t>Hall Escada</t>
  </si>
  <si>
    <t>Garagem</t>
  </si>
  <si>
    <t>K</t>
  </si>
  <si>
    <t>eficiencia do recinto</t>
  </si>
  <si>
    <t>Cômodo</t>
  </si>
  <si>
    <t>Uso</t>
  </si>
  <si>
    <t>TUG</t>
  </si>
  <si>
    <t>TUE</t>
  </si>
  <si>
    <t>Total VA</t>
  </si>
  <si>
    <t>Uso geral</t>
  </si>
  <si>
    <t>PIPE LUMINÁRIA PAREDE</t>
  </si>
  <si>
    <t>Foto do Material</t>
  </si>
  <si>
    <t>Descrição</t>
  </si>
  <si>
    <t>Valor Unitário</t>
  </si>
  <si>
    <t>Quantidade</t>
  </si>
  <si>
    <t>Valor Final</t>
  </si>
  <si>
    <t>Lâmpada LED G9/Halopin Bipino 3w 6000k 302lm</t>
  </si>
  <si>
    <t xml:space="preserve">LÂMPADA LED BULBO FILAMENTO 4W 400lm 2400k BIVOLT EMPALUX </t>
  </si>
  <si>
    <t>LUMINÁRIA EMBUTIDA DIFUSORA ITAIM MINOTAURO PE 16W 1608lm 4000K</t>
  </si>
  <si>
    <t>Kit 3 Pendentes Vegas (Preto Textura / Bronze) bocal g27</t>
  </si>
  <si>
    <t>LÂMPADA LED BULBO FILAMENTO VINTAGE 2400K QUENTE 2W STELLA STH6335/24 200 lm</t>
  </si>
  <si>
    <t>LUMINÁRIA EMBUTIDA ITAIM PANDORA 1C 0578-G 15W 675lm 3000K</t>
  </si>
  <si>
    <t>Pendente C/ Cristal Ref:930-50c P/sala Estar COM 3 LAMPADAS G27</t>
  </si>
  <si>
    <t>Lâmpada embutida na luminária</t>
  </si>
  <si>
    <t>Iluminamento Produzido</t>
  </si>
  <si>
    <t>Potência da Lâmpada (W)</t>
  </si>
  <si>
    <t>Potência da Lâmpada (VA)</t>
  </si>
  <si>
    <t>Potência Total (VA)</t>
  </si>
  <si>
    <t>Iluminamento Geral Total</t>
  </si>
  <si>
    <t>Regra</t>
  </si>
  <si>
    <t>Em cômodos ou dependências com área superior a 6m2, deve ser prevista uma carga mínima de 100VA para os primeiros 6m2 acrescida de 60VA para cada aumento de 4m2
inteiros.</t>
  </si>
  <si>
    <t>LUMINÁRIA EMBUTIDA DIFUSORA ITAIM ÓRBITA 11W 631lm 3000K</t>
  </si>
  <si>
    <t>Dispensa</t>
  </si>
  <si>
    <t>Iluminária Plafon Quadrado com Cristal, WEE, MY-93128L/C6, Cromado</t>
  </si>
  <si>
    <t>uso específico</t>
  </si>
  <si>
    <t>ARANDELA ITAIM DIRETA 1727-G 17 W 1493lm 4000K</t>
  </si>
  <si>
    <t>LUSTRE DE CRISTAL BUCKINGHAM CHAMPAGNE 32 BRAÇOS - TUPIARA 32 LÂMPADAS</t>
  </si>
  <si>
    <t>Lâmpada Vela Leitosa LED 4w 300 lm 3000K</t>
  </si>
  <si>
    <t>Lâmpada LED Vela Leitosa LED 4w 300 lm 3000K</t>
  </si>
  <si>
    <t>Calçada</t>
  </si>
  <si>
    <t>Potência (VA)</t>
  </si>
  <si>
    <t>Tensão:</t>
  </si>
  <si>
    <t>Corrente Total (A)</t>
  </si>
  <si>
    <t>Corrente (A)</t>
  </si>
  <si>
    <t>1 ponto de tomada para cada 5m, ou fração, de perímetro.</t>
  </si>
  <si>
    <t>1 ponto de tomada para cada 5m, ou fração, de perímetro. Devendo, estes pontos, ser espaçados de forma uniforme (no mínimo 100VA por tomada).</t>
  </si>
  <si>
    <t>Potência TUG</t>
  </si>
  <si>
    <t>Potência TUE</t>
  </si>
  <si>
    <t>uma tomada junto ao lavatório (600VA até três tomadas e 100VA para cada tomada excedente),</t>
  </si>
  <si>
    <t>pelo menos uma tomada (no mínimo 100VA por tomada).</t>
  </si>
  <si>
    <t>no mínimo uma tomada para cada 3,5m, ou fração de perímetro (600VA as 3 primeiras e 100VA excedentes</t>
  </si>
  <si>
    <t>Bancada Cozinha</t>
  </si>
  <si>
    <t>se a área for superior a 6m2, pelo menos uma tomada para cada 5 m, ou fração de perímetro, espaçadas tão uniformemente quanto possível (no mínimo 100VA por tomada).</t>
  </si>
  <si>
    <t>desconsiderado</t>
  </si>
  <si>
    <t>Spot Balizador LED 3W 6000K para Piso</t>
  </si>
  <si>
    <t>não se aplica</t>
  </si>
  <si>
    <t>Circuito 2 - Tomadas gerais Primeiro Pavimento</t>
  </si>
  <si>
    <t>Circuito 4 - Tomadas Aréa de Serviço</t>
  </si>
  <si>
    <t>Circuito 3 - Tomadas Cozinha</t>
  </si>
  <si>
    <t>Circuito 7 - Tomadas Quartos Segundo Pavimento</t>
  </si>
  <si>
    <t>Circuito 8 - Tomadas Suite Casal</t>
  </si>
  <si>
    <t>Refletor Holofote MicroLED SMD 30w 3500lm RGB Colorido com Controle</t>
  </si>
  <si>
    <t>Circuito 11 - Tomadas Garagem</t>
  </si>
  <si>
    <t>Chuveiro WC Hóspedes</t>
  </si>
  <si>
    <t>Chuveiro WC Suite 1</t>
  </si>
  <si>
    <t>Chuveiro WC Suite 2</t>
  </si>
  <si>
    <t>Chuveiro WC Casal 1</t>
  </si>
  <si>
    <t>Chuveiro WC Casal 2</t>
  </si>
  <si>
    <t>Banheira</t>
  </si>
  <si>
    <t>Não se aplica</t>
  </si>
  <si>
    <t>potência igual à potência nominal do equipamento a ser alimentado.</t>
  </si>
  <si>
    <t>Chuveiro</t>
  </si>
  <si>
    <t>Chuveiro Lorenzetti Acqua Duo 220v/7800w Preto E Cromado</t>
  </si>
  <si>
    <t>Circuito 13 - Chuveiro WC Suite 1</t>
  </si>
  <si>
    <t>Circuito 14 - Chuveiro WC Suite 2</t>
  </si>
  <si>
    <t>Circuito 5 - Tomadas Gerais</t>
  </si>
  <si>
    <t>Circuito 6 - Chuveiro WC Hóspedes</t>
  </si>
  <si>
    <t>Circuito 9 - Chuveiro WC Suite Casal 1</t>
  </si>
  <si>
    <t>Circuito 10 - Chuveiro WC Suite Casal 2</t>
  </si>
  <si>
    <t>Circuito 12 - Banheira WC Suite Casal</t>
  </si>
  <si>
    <t>Banheira de Hidromassagem 170x110x45cm Neo Confort Sensea 367,749W</t>
  </si>
  <si>
    <t>Fachada Casa</t>
  </si>
  <si>
    <t>QUADRO TERMINAL</t>
  </si>
  <si>
    <t>CIRCUITO</t>
  </si>
  <si>
    <t>DESCRIÇÃO</t>
  </si>
  <si>
    <t>POTÊNCIA (VA)</t>
  </si>
  <si>
    <t>CORRENTE(A)</t>
  </si>
  <si>
    <t>TENSÃO(V)</t>
  </si>
  <si>
    <t>ILUMINAÇÃO</t>
  </si>
  <si>
    <t>TOMADAS GERAIS PRIMEIRO PAVIMENTO</t>
  </si>
  <si>
    <t>TOMADAS COZINHA</t>
  </si>
  <si>
    <t>TOMADAS AREA DE SERVIÇO</t>
  </si>
  <si>
    <t>TOMADAS GERAIS</t>
  </si>
  <si>
    <t>CHUVEIRO WC HOSPEDES</t>
  </si>
  <si>
    <t>TOMADAS QUARTOS SEGUNDO PAVIMENTO</t>
  </si>
  <si>
    <t>TOMADAS SUITE CASAL</t>
  </si>
  <si>
    <t>CHUVEIRO WC CASAL 1</t>
  </si>
  <si>
    <t>CHUVEIRO WC CASAL 2</t>
  </si>
  <si>
    <t>TOMADAS GARAGEM</t>
  </si>
  <si>
    <t>BANHEIRA WC CASAL</t>
  </si>
  <si>
    <t>CHUVEIRO WC SUITE 1</t>
  </si>
  <si>
    <t>CHUVEIRO WC SUITE 2</t>
  </si>
  <si>
    <t>DISJUNTOR(A)</t>
  </si>
  <si>
    <t>TOTAL</t>
  </si>
  <si>
    <t>-</t>
  </si>
  <si>
    <t>Conjunto 1 Interruptor Horizontal Simples 10a 220v Simon 19 Branco</t>
  </si>
  <si>
    <t>Conjunto 2 Interruptores Simples - Alumbra Inova - 5437</t>
  </si>
  <si>
    <t>INTERRUPTOR PARALELO 10A 4X2 1 TECLA BRANCO ILUS IRIEL</t>
  </si>
  <si>
    <t>Interruptor Intermediário BELEZE ENERBRAS</t>
  </si>
  <si>
    <t>Conjunto de Tomada Energia 10A Branco S19 Simon</t>
  </si>
  <si>
    <t>Conjunto 2 Tomadas 2P+T Miluz 10A 250V Branco - S3B60440 - SCHNEIDER</t>
  </si>
  <si>
    <t>Conjunto 4X2 - 3 tomadas 2P+T 10A 250V~ Tramontina</t>
  </si>
  <si>
    <t>Dimensionamento</t>
  </si>
  <si>
    <t>Circuito</t>
  </si>
  <si>
    <t>Corrente de Projeto</t>
  </si>
  <si>
    <t>k1</t>
  </si>
  <si>
    <t>k2</t>
  </si>
  <si>
    <t>k3</t>
  </si>
  <si>
    <t>Corrente Corrigida</t>
  </si>
  <si>
    <t>Coeficiente do Circuito (t)</t>
  </si>
  <si>
    <t>Fator de potência (cos)</t>
  </si>
  <si>
    <t>Fator Reativo (sen)</t>
  </si>
  <si>
    <t>Resistência do condutor (R)</t>
  </si>
  <si>
    <t>Reatância do condutor    (x)</t>
  </si>
  <si>
    <t>Queda de Tensão (DV)</t>
  </si>
  <si>
    <t>Comprimento do circuito        (L)</t>
  </si>
  <si>
    <t>Seção do Cabo</t>
  </si>
  <si>
    <t>Seção</t>
  </si>
  <si>
    <t>R</t>
  </si>
  <si>
    <t>Xl</t>
  </si>
  <si>
    <t>Icc</t>
  </si>
  <si>
    <t>Comprimento Médio</t>
  </si>
  <si>
    <t>Local</t>
  </si>
  <si>
    <t>Carga</t>
  </si>
  <si>
    <t>S*Lm</t>
  </si>
  <si>
    <t>Lâmpadas</t>
  </si>
  <si>
    <t>Lm</t>
  </si>
  <si>
    <t>GELADEIRA</t>
  </si>
  <si>
    <t>MICROONDAS</t>
  </si>
  <si>
    <t>FORNO</t>
  </si>
  <si>
    <t>MÁQUINA DE LAVAR</t>
  </si>
  <si>
    <t>TANQUIHO</t>
  </si>
  <si>
    <t>SECADORA</t>
  </si>
  <si>
    <t>Fachada da Casa</t>
  </si>
  <si>
    <t>Jardim</t>
  </si>
  <si>
    <t>Porcentagem</t>
  </si>
  <si>
    <t>Circuito 1 - Iluminação Primeiro Andar</t>
  </si>
  <si>
    <t>Eletroduto</t>
  </si>
  <si>
    <t>Número de Cabos</t>
  </si>
  <si>
    <t>Disjuntor Escolhido</t>
  </si>
  <si>
    <t>Índice de Correção</t>
  </si>
  <si>
    <t>Sobrecarga</t>
  </si>
  <si>
    <t>Circuito 15 - Jardim</t>
  </si>
  <si>
    <t>Iluminação do Jardim</t>
  </si>
  <si>
    <t>Tomadas do Jardim</t>
  </si>
  <si>
    <t>Capacidade de condução de corrente</t>
  </si>
  <si>
    <t>Seção Eletroduto pol</t>
  </si>
  <si>
    <t>Área externa total (mm²)</t>
  </si>
  <si>
    <t>Área Eletroduto mm²</t>
  </si>
  <si>
    <t>Área Total [mm²]</t>
  </si>
  <si>
    <t>Diâmetro externo [mm]</t>
  </si>
  <si>
    <t>POTÊNCIA (W)</t>
  </si>
  <si>
    <r>
      <t xml:space="preserve">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1 </t>
    </r>
  </si>
  <si>
    <r>
      <t xml:space="preserve">1 &lt; 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2 </t>
    </r>
  </si>
  <si>
    <r>
      <t xml:space="preserve">2 &lt; 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3 </t>
    </r>
  </si>
  <si>
    <r>
      <t xml:space="preserve">3 &lt; 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4</t>
    </r>
  </si>
  <si>
    <r>
      <t xml:space="preserve">4 &lt; 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5 </t>
    </r>
  </si>
  <si>
    <r>
      <t xml:space="preserve">5 &lt; 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6</t>
    </r>
  </si>
  <si>
    <r>
      <t xml:space="preserve">6 &lt; 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7</t>
    </r>
  </si>
  <si>
    <r>
      <t xml:space="preserve">7 &lt; 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8 </t>
    </r>
  </si>
  <si>
    <r>
      <t xml:space="preserve">8 &lt; 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9 </t>
    </r>
  </si>
  <si>
    <t>CI &gt; 10</t>
  </si>
  <si>
    <r>
      <t xml:space="preserve">9 &lt; CI </t>
    </r>
    <r>
      <rPr>
        <sz val="11"/>
        <color theme="1"/>
        <rFont val="Symbol"/>
        <family val="1"/>
        <charset val="2"/>
      </rPr>
      <t>£</t>
    </r>
    <r>
      <rPr>
        <sz val="11"/>
        <color theme="1"/>
        <rFont val="Calibri"/>
        <family val="2"/>
        <scheme val="minor"/>
      </rPr>
      <t xml:space="preserve"> 10 </t>
    </r>
  </si>
  <si>
    <t>Carga Instalada</t>
  </si>
  <si>
    <t xml:space="preserve"> Fator de Demanda  CI( kW ) </t>
  </si>
  <si>
    <t>Tipo de Circuito</t>
  </si>
  <si>
    <t>Fator de Demanda</t>
  </si>
  <si>
    <t>Potência Corrigida</t>
  </si>
  <si>
    <t>Curto Circuito</t>
  </si>
  <si>
    <t>Ik</t>
  </si>
  <si>
    <t>Ir</t>
  </si>
  <si>
    <t>Forno Elétrico</t>
  </si>
  <si>
    <t>Uso Específico</t>
  </si>
  <si>
    <t>Máquina de Secar</t>
  </si>
  <si>
    <t>FORNO ELÉTRICO</t>
  </si>
  <si>
    <t>MÁQUINA DE SECAR</t>
  </si>
  <si>
    <t>Circuito 17 - Forno Elétrico</t>
  </si>
  <si>
    <t>Número de aparelhos</t>
  </si>
  <si>
    <t>Fator de Demanda 1º Pavimento</t>
  </si>
  <si>
    <t>Demanda A</t>
  </si>
  <si>
    <t>Demanda B</t>
  </si>
  <si>
    <t>Fator de Demanda 2º Pavimento</t>
  </si>
  <si>
    <t>Circuito 16 - Iluminação Segundo Andar</t>
  </si>
  <si>
    <t>Circuito 18 - Máquina de Secar</t>
  </si>
  <si>
    <t>ILUMINAÇÃO 2º PAVIMENTO</t>
  </si>
  <si>
    <t>Fator de Demanda TOTAL</t>
  </si>
  <si>
    <t>FASES</t>
  </si>
  <si>
    <t>FASE B</t>
  </si>
  <si>
    <t>FASE C</t>
  </si>
  <si>
    <t>FASE A</t>
  </si>
  <si>
    <t>A+B</t>
  </si>
  <si>
    <t>B+C</t>
  </si>
  <si>
    <t>A+C</t>
  </si>
  <si>
    <t>C+A</t>
  </si>
  <si>
    <t>QD2</t>
  </si>
  <si>
    <t>QUADRO DE CARGAS 2</t>
  </si>
  <si>
    <t>A+B+C</t>
  </si>
  <si>
    <t>QUADRO TERMINAL 2</t>
  </si>
  <si>
    <t>CORRENTE A</t>
  </si>
  <si>
    <t>CORRENTE B</t>
  </si>
  <si>
    <t>CORRENTE C</t>
  </si>
  <si>
    <t>DISJUNTOR</t>
  </si>
  <si>
    <t>SEÇÃO DO CABO (mm²)</t>
  </si>
  <si>
    <t>FASE A (W)</t>
  </si>
  <si>
    <t>FASE B (W)</t>
  </si>
  <si>
    <t>FASE C (W)</t>
  </si>
  <si>
    <t>C4</t>
  </si>
  <si>
    <t>Faixa</t>
  </si>
  <si>
    <t>Demanda Provável</t>
  </si>
  <si>
    <t>Disjuntor</t>
  </si>
  <si>
    <t>Eletroduto PVC</t>
  </si>
  <si>
    <t>Condutor Cobre PVC</t>
  </si>
  <si>
    <t>Potência (KVA)</t>
  </si>
  <si>
    <t>SOMATORIO</t>
  </si>
  <si>
    <t>4.5kA</t>
  </si>
  <si>
    <t>JARDIM</t>
  </si>
  <si>
    <t>Conjunto 1 interruptor simples + 2 tomadas 2P+T 20A 4x2 - LIZ - Tramontina</t>
  </si>
  <si>
    <t>Conjunto 1 Interruptor Simples 1 Tomada 2P+T Tramontina</t>
  </si>
  <si>
    <t>Conjunto Montado Liz 4x2 - 2 Interruptores Simples + 1 Tomada NBR 14136 10A - 250V~ - Tramontina</t>
  </si>
  <si>
    <t>Caixa De Luz Plástica Retangular 2x4 Amarela - Tigre</t>
  </si>
  <si>
    <t>Caixa De Luz Plástica Octagonal 4x4 Com Fundo Móvel Amarela - Tigre</t>
  </si>
  <si>
    <t>Caixa De Passagem De Embutir CPT15 Tigre</t>
  </si>
  <si>
    <t>Cabo de Energia 750v 1,5mm² Flexicom Antichama com 50 Metros Preto Cobrecom</t>
  </si>
  <si>
    <t>Cabo de Energia 750v 2,5mm² Flexicom Antichama com 50 Metros Preto</t>
  </si>
  <si>
    <t>Cabo de Energia 750v 4mm² Flexicom Antichama com 100 Metros Vermelho</t>
  </si>
  <si>
    <t>Cabo de Energia 750v 10mm² Flexicom Antichama com 100 Metros Preto</t>
  </si>
  <si>
    <t>Método</t>
  </si>
  <si>
    <t>FFT</t>
  </si>
  <si>
    <t>Total</t>
  </si>
  <si>
    <t>Tamanho do pacote</t>
  </si>
  <si>
    <t>Quantidade de Pacotes</t>
  </si>
  <si>
    <t>Eletrodutos</t>
  </si>
  <si>
    <t>1"</t>
  </si>
  <si>
    <t>Eletroduto Corrugado Tigre 32mm 1 Pol 25m Laranja</t>
  </si>
  <si>
    <t>Tubo Duto Corrugado Eletroduto Conduíte 1 1/2 Pol. 50mts</t>
  </si>
  <si>
    <t>1 1/2"</t>
  </si>
  <si>
    <t>3.8kA</t>
  </si>
  <si>
    <t>Distância</t>
  </si>
  <si>
    <t>L médio</t>
  </si>
  <si>
    <t>L circuito</t>
  </si>
  <si>
    <t>t</t>
  </si>
  <si>
    <t>k</t>
  </si>
  <si>
    <t>Seção Mínima</t>
  </si>
  <si>
    <t>Tubo Duto Corrugado Eletroduto 1 1/2 Pol. 50mts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</si>
</sst>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000"/>
  </numFmts>
  <fonts count="15" x14ac:knownFonts="1">
    <font>
      <sz val="11"/>
      <color theme="1"/>
      <name val="Calibri"/>
      <family val="2"/>
      <scheme val="minor"/>
    </font>
    <font>
      <sz val="12"/>
      <color theme="1"/>
      <name val="Arial"/>
    </font>
    <font>
      <sz val="14"/>
      <color theme="1"/>
      <name val="Arial"/>
    </font>
    <font>
      <sz val="12"/>
      <color theme="1"/>
      <name val="Arial"/>
      <family val="2"/>
    </font>
    <font>
      <sz val="11"/>
      <name val="Calibri"/>
      <family val="2"/>
      <scheme val="minor"/>
    </font>
    <font>
      <sz val="11"/>
      <color theme="0"/>
      <name val="Calibri"/>
      <family val="2"/>
      <scheme val="minor"/>
    </font>
    <font>
      <sz val="14"/>
      <color theme="0"/>
      <name val="Arial"/>
      <family val="2"/>
    </font>
    <font>
      <sz val="12"/>
      <color theme="0"/>
      <name val="Arial"/>
      <family val="2"/>
    </font>
    <font>
      <sz val="11"/>
      <name val="Calibri"/>
      <family val="2"/>
      <scheme val="minor"/>
    </font>
    <font>
      <sz val="11"/>
      <color theme="1"/>
      <name val="Symbol"/>
      <family val="1"/>
      <charset val="2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</fonts>
  <fills count="24">
    <fill>
      <patternFill patternType="none"/>
    </fill>
    <fill>
      <patternFill patternType="gray125"/>
    </fill>
    <fill>
      <patternFill patternType="solid">
        <fgColor rgb="FFB4C6E7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EB4E3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6" tint="-0.249977111117893"/>
        <bgColor indexed="64"/>
      </patternFill>
    </fill>
  </fills>
  <borders count="3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/>
      <diagonal/>
    </border>
    <border>
      <left style="thin">
        <color rgb="FF000000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rgb="FF000000"/>
      </top>
      <bottom/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rgb="FF000000"/>
      </right>
      <top/>
      <bottom/>
      <diagonal/>
    </border>
    <border>
      <left style="thin">
        <color indexed="64"/>
      </left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000000"/>
      </right>
      <top style="thin">
        <color indexed="64"/>
      </top>
      <bottom/>
      <diagonal/>
    </border>
  </borders>
  <cellStyleXfs count="2">
    <xf numFmtId="0" fontId="0" fillId="0" borderId="0"/>
    <xf numFmtId="0" fontId="12" fillId="0" borderId="0" applyNumberFormat="0" applyFill="0" applyBorder="0" applyAlignment="0" applyProtection="0"/>
  </cellStyleXfs>
  <cellXfs count="399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/>
    </xf>
    <xf numFmtId="0" fontId="0" fillId="0" borderId="0" xfId="0" applyAlignment="1">
      <alignment wrapText="1"/>
    </xf>
    <xf numFmtId="0" fontId="2" fillId="0" borderId="0" xfId="0" applyFont="1" applyFill="1" applyBorder="1" applyAlignment="1">
      <alignment horizontal="center"/>
    </xf>
    <xf numFmtId="0" fontId="1" fillId="0" borderId="0" xfId="0" applyFont="1" applyBorder="1"/>
    <xf numFmtId="0" fontId="0" fillId="0" borderId="0" xfId="0" applyBorder="1"/>
    <xf numFmtId="0" fontId="3" fillId="0" borderId="0" xfId="0" applyFont="1" applyFill="1" applyBorder="1" applyAlignment="1">
      <alignment horizontal="center"/>
    </xf>
    <xf numFmtId="0" fontId="0" fillId="0" borderId="20" xfId="0" applyBorder="1"/>
    <xf numFmtId="0" fontId="0" fillId="0" borderId="28" xfId="0" applyBorder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0" fillId="0" borderId="0" xfId="0" applyFont="1" applyBorder="1" applyAlignment="1">
      <alignment horizontal="center"/>
    </xf>
    <xf numFmtId="0" fontId="0" fillId="0" borderId="0" xfId="0" applyFont="1" applyBorder="1"/>
    <xf numFmtId="0" fontId="4" fillId="0" borderId="0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4" fillId="6" borderId="0" xfId="0" applyFont="1" applyFill="1" applyBorder="1" applyAlignment="1">
      <alignment horizontal="center" vertical="center"/>
    </xf>
    <xf numFmtId="0" fontId="3" fillId="6" borderId="12" xfId="0" applyFont="1" applyFill="1" applyBorder="1" applyAlignment="1">
      <alignment horizontal="center"/>
    </xf>
    <xf numFmtId="0" fontId="1" fillId="6" borderId="0" xfId="0" applyFont="1" applyFill="1" applyBorder="1"/>
    <xf numFmtId="0" fontId="2" fillId="6" borderId="1" xfId="0" applyFont="1" applyFill="1" applyBorder="1" applyAlignment="1">
      <alignment horizontal="center"/>
    </xf>
    <xf numFmtId="0" fontId="4" fillId="6" borderId="12" xfId="0" applyFont="1" applyFill="1" applyBorder="1" applyAlignment="1">
      <alignment horizontal="center" vertical="center"/>
    </xf>
    <xf numFmtId="0" fontId="3" fillId="8" borderId="0" xfId="0" applyFont="1" applyFill="1" applyBorder="1" applyAlignment="1">
      <alignment horizontal="center"/>
    </xf>
    <xf numFmtId="0" fontId="4" fillId="8" borderId="12" xfId="0" applyFont="1" applyFill="1" applyBorder="1" applyAlignment="1">
      <alignment horizontal="center" vertical="center"/>
    </xf>
    <xf numFmtId="0" fontId="1" fillId="8" borderId="12" xfId="0" applyFont="1" applyFill="1" applyBorder="1" applyAlignment="1">
      <alignment horizontal="center"/>
    </xf>
    <xf numFmtId="0" fontId="3" fillId="8" borderId="12" xfId="0" applyFont="1" applyFill="1" applyBorder="1" applyAlignment="1">
      <alignment horizontal="center"/>
    </xf>
    <xf numFmtId="0" fontId="5" fillId="5" borderId="4" xfId="0" applyFont="1" applyFill="1" applyBorder="1" applyAlignment="1">
      <alignment horizontal="center" vertical="center" wrapText="1"/>
    </xf>
    <xf numFmtId="0" fontId="4" fillId="6" borderId="10" xfId="0" applyFont="1" applyFill="1" applyBorder="1" applyAlignment="1">
      <alignment horizontal="center" vertical="center" wrapText="1"/>
    </xf>
    <xf numFmtId="0" fontId="1" fillId="6" borderId="12" xfId="0" applyFont="1" applyFill="1" applyBorder="1" applyAlignment="1">
      <alignment horizontal="center"/>
    </xf>
    <xf numFmtId="0" fontId="1" fillId="6" borderId="0" xfId="0" applyFont="1" applyFill="1" applyBorder="1" applyAlignment="1">
      <alignment horizontal="center"/>
    </xf>
    <xf numFmtId="0" fontId="1" fillId="8" borderId="0" xfId="0" applyFont="1" applyFill="1" applyBorder="1" applyAlignment="1">
      <alignment horizontal="center"/>
    </xf>
    <xf numFmtId="0" fontId="4" fillId="8" borderId="10" xfId="0" applyFont="1" applyFill="1" applyBorder="1" applyAlignment="1">
      <alignment horizontal="center" vertical="center" wrapText="1"/>
    </xf>
    <xf numFmtId="0" fontId="1" fillId="6" borderId="0" xfId="0" applyFont="1" applyFill="1" applyAlignment="1">
      <alignment horizontal="center"/>
    </xf>
    <xf numFmtId="0" fontId="4" fillId="8" borderId="1" xfId="0" applyFont="1" applyFill="1" applyBorder="1" applyAlignment="1">
      <alignment horizontal="center" vertical="center" wrapText="1"/>
    </xf>
    <xf numFmtId="0" fontId="4" fillId="8" borderId="19" xfId="0" applyFont="1" applyFill="1" applyBorder="1" applyAlignment="1">
      <alignment horizontal="center" vertical="center"/>
    </xf>
    <xf numFmtId="0" fontId="1" fillId="8" borderId="0" xfId="0" applyFont="1" applyFill="1" applyAlignment="1">
      <alignment horizontal="center"/>
    </xf>
    <xf numFmtId="0" fontId="1" fillId="0" borderId="0" xfId="0" applyFont="1" applyFill="1" applyBorder="1"/>
    <xf numFmtId="0" fontId="1" fillId="0" borderId="0" xfId="0" applyFont="1" applyFill="1" applyBorder="1" applyAlignment="1">
      <alignment horizontal="center"/>
    </xf>
    <xf numFmtId="0" fontId="4" fillId="8" borderId="28" xfId="0" applyFont="1" applyFill="1" applyBorder="1" applyAlignment="1">
      <alignment horizontal="center" vertical="center"/>
    </xf>
    <xf numFmtId="0" fontId="4" fillId="6" borderId="28" xfId="0" applyFont="1" applyFill="1" applyBorder="1" applyAlignment="1">
      <alignment horizontal="center" vertical="center"/>
    </xf>
    <xf numFmtId="0" fontId="5" fillId="5" borderId="20" xfId="0" applyFont="1" applyFill="1" applyBorder="1" applyAlignment="1">
      <alignment horizontal="center" vertical="center"/>
    </xf>
    <xf numFmtId="0" fontId="4" fillId="6" borderId="20" xfId="0" applyFont="1" applyFill="1" applyBorder="1" applyAlignment="1">
      <alignment horizontal="center" vertical="center"/>
    </xf>
    <xf numFmtId="0" fontId="4" fillId="8" borderId="20" xfId="0" applyFont="1" applyFill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4" fillId="6" borderId="20" xfId="0" applyFont="1" applyFill="1" applyBorder="1" applyAlignment="1">
      <alignment horizontal="center" vertical="center" wrapText="1"/>
    </xf>
    <xf numFmtId="0" fontId="4" fillId="8" borderId="20" xfId="0" applyFont="1" applyFill="1" applyBorder="1" applyAlignment="1">
      <alignment horizontal="center" vertical="center" wrapText="1"/>
    </xf>
    <xf numFmtId="0" fontId="5" fillId="5" borderId="28" xfId="0" applyFont="1" applyFill="1" applyBorder="1" applyAlignment="1">
      <alignment horizontal="center" vertical="center"/>
    </xf>
    <xf numFmtId="0" fontId="4" fillId="0" borderId="28" xfId="0" applyFont="1" applyBorder="1" applyAlignment="1">
      <alignment horizontal="center" vertical="center"/>
    </xf>
    <xf numFmtId="0" fontId="4" fillId="8" borderId="2" xfId="0" applyFont="1" applyFill="1" applyBorder="1" applyAlignment="1">
      <alignment horizontal="center" vertical="center" wrapText="1"/>
    </xf>
    <xf numFmtId="0" fontId="4" fillId="8" borderId="9" xfId="0" applyFont="1" applyFill="1" applyBorder="1" applyAlignment="1">
      <alignment horizontal="center" vertical="center"/>
    </xf>
    <xf numFmtId="0" fontId="4" fillId="8" borderId="29" xfId="0" applyFont="1" applyFill="1" applyBorder="1" applyAlignment="1">
      <alignment horizontal="center" vertical="center"/>
    </xf>
    <xf numFmtId="0" fontId="4" fillId="8" borderId="22" xfId="0" applyFont="1" applyFill="1" applyBorder="1" applyAlignment="1">
      <alignment horizontal="center" vertical="center"/>
    </xf>
    <xf numFmtId="0" fontId="4" fillId="8" borderId="29" xfId="0" applyFont="1" applyFill="1" applyBorder="1" applyAlignment="1">
      <alignment horizontal="center" vertical="center" wrapText="1"/>
    </xf>
    <xf numFmtId="0" fontId="1" fillId="0" borderId="20" xfId="0" applyFont="1" applyFill="1" applyBorder="1" applyAlignment="1">
      <alignment horizontal="center"/>
    </xf>
    <xf numFmtId="0" fontId="1" fillId="6" borderId="20" xfId="0" applyFont="1" applyFill="1" applyBorder="1" applyAlignment="1">
      <alignment horizontal="center"/>
    </xf>
    <xf numFmtId="0" fontId="4" fillId="6" borderId="29" xfId="0" applyFont="1" applyFill="1" applyBorder="1" applyAlignment="1">
      <alignment horizontal="center" vertical="center" wrapText="1"/>
    </xf>
    <xf numFmtId="0" fontId="4" fillId="6" borderId="29" xfId="0" applyFont="1" applyFill="1" applyBorder="1" applyAlignment="1">
      <alignment horizontal="center" vertical="center"/>
    </xf>
    <xf numFmtId="0" fontId="1" fillId="0" borderId="29" xfId="0" applyFont="1" applyFill="1" applyBorder="1" applyAlignment="1">
      <alignment horizontal="center"/>
    </xf>
    <xf numFmtId="0" fontId="1" fillId="6" borderId="29" xfId="0" applyFont="1" applyFill="1" applyBorder="1" applyAlignment="1">
      <alignment horizontal="center"/>
    </xf>
    <xf numFmtId="0" fontId="1" fillId="8" borderId="29" xfId="0" applyFont="1" applyFill="1" applyBorder="1" applyAlignment="1">
      <alignment horizontal="center"/>
    </xf>
    <xf numFmtId="0" fontId="4" fillId="0" borderId="31" xfId="0" applyFont="1" applyBorder="1" applyAlignment="1">
      <alignment horizontal="center" vertical="center"/>
    </xf>
    <xf numFmtId="0" fontId="4" fillId="0" borderId="26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 wrapText="1"/>
    </xf>
    <xf numFmtId="0" fontId="5" fillId="12" borderId="20" xfId="0" applyFont="1" applyFill="1" applyBorder="1" applyAlignment="1">
      <alignment horizontal="center" vertical="center" wrapText="1"/>
    </xf>
    <xf numFmtId="0" fontId="4" fillId="3" borderId="20" xfId="0" applyFont="1" applyFill="1" applyBorder="1" applyAlignment="1">
      <alignment horizontal="center" vertical="center" wrapText="1"/>
    </xf>
    <xf numFmtId="0" fontId="4" fillId="4" borderId="20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/>
    <xf numFmtId="0" fontId="0" fillId="0" borderId="23" xfId="0" applyFont="1" applyBorder="1"/>
    <xf numFmtId="0" fontId="4" fillId="0" borderId="25" xfId="0" applyFont="1" applyBorder="1" applyAlignment="1">
      <alignment horizontal="center" vertical="center"/>
    </xf>
    <xf numFmtId="0" fontId="4" fillId="0" borderId="27" xfId="0" applyFont="1" applyBorder="1" applyAlignment="1">
      <alignment horizontal="center" vertical="center"/>
    </xf>
    <xf numFmtId="0" fontId="4" fillId="0" borderId="20" xfId="0" applyFont="1" applyFill="1" applyBorder="1" applyAlignment="1">
      <alignment horizontal="center" vertical="center" wrapText="1"/>
    </xf>
    <xf numFmtId="4" fontId="4" fillId="0" borderId="20" xfId="0" applyNumberFormat="1" applyFont="1" applyBorder="1" applyAlignment="1">
      <alignment horizontal="center" vertical="center"/>
    </xf>
    <xf numFmtId="2" fontId="4" fillId="0" borderId="20" xfId="0" applyNumberFormat="1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8" fillId="0" borderId="29" xfId="0" applyFont="1" applyBorder="1" applyAlignment="1">
      <alignment horizontal="center" vertical="center" wrapText="1"/>
    </xf>
    <xf numFmtId="4" fontId="4" fillId="0" borderId="29" xfId="0" applyNumberFormat="1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0" fillId="0" borderId="20" xfId="0" applyBorder="1" applyAlignment="1">
      <alignment horizontal="center" vertical="center"/>
    </xf>
    <xf numFmtId="0" fontId="1" fillId="0" borderId="24" xfId="0" applyFont="1" applyFill="1" applyBorder="1" applyAlignment="1"/>
    <xf numFmtId="0" fontId="0" fillId="14" borderId="0" xfId="0" applyFont="1" applyFill="1" applyBorder="1" applyAlignment="1">
      <alignment horizontal="center" vertical="center"/>
    </xf>
    <xf numFmtId="0" fontId="0" fillId="13" borderId="17" xfId="0" applyFont="1" applyFill="1" applyBorder="1" applyAlignment="1">
      <alignment horizontal="center" vertical="center"/>
    </xf>
    <xf numFmtId="0" fontId="0" fillId="2" borderId="33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4" fillId="13" borderId="35" xfId="0" applyFont="1" applyFill="1" applyBorder="1" applyAlignment="1">
      <alignment horizontal="center" vertical="center"/>
    </xf>
    <xf numFmtId="0" fontId="4" fillId="13" borderId="17" xfId="0" applyFont="1" applyFill="1" applyBorder="1" applyAlignment="1">
      <alignment horizontal="center" vertical="center"/>
    </xf>
    <xf numFmtId="0" fontId="4" fillId="13" borderId="17" xfId="0" applyFont="1" applyFill="1" applyBorder="1" applyAlignment="1">
      <alignment horizontal="center" vertical="center" wrapText="1"/>
    </xf>
    <xf numFmtId="0" fontId="4" fillId="13" borderId="22" xfId="0" applyFont="1" applyFill="1" applyBorder="1" applyAlignment="1">
      <alignment horizontal="center" vertical="center"/>
    </xf>
    <xf numFmtId="0" fontId="0" fillId="14" borderId="34" xfId="0" applyFont="1" applyFill="1" applyBorder="1" applyAlignment="1">
      <alignment horizontal="center" vertical="center"/>
    </xf>
    <xf numFmtId="0" fontId="0" fillId="14" borderId="0" xfId="0" applyFont="1" applyFill="1" applyBorder="1" applyAlignment="1">
      <alignment horizontal="center" vertical="center" wrapText="1"/>
    </xf>
    <xf numFmtId="0" fontId="0" fillId="14" borderId="28" xfId="0" applyFont="1" applyFill="1" applyBorder="1" applyAlignment="1">
      <alignment horizontal="center" vertical="center"/>
    </xf>
    <xf numFmtId="0" fontId="4" fillId="13" borderId="26" xfId="0" applyFont="1" applyFill="1" applyBorder="1" applyAlignment="1">
      <alignment horizontal="center" vertical="center"/>
    </xf>
    <xf numFmtId="0" fontId="4" fillId="13" borderId="28" xfId="0" applyFont="1" applyFill="1" applyBorder="1" applyAlignment="1">
      <alignment horizontal="center" vertical="center"/>
    </xf>
    <xf numFmtId="0" fontId="0" fillId="14" borderId="35" xfId="0" applyFont="1" applyFill="1" applyBorder="1" applyAlignment="1">
      <alignment horizontal="center" vertical="center"/>
    </xf>
    <xf numFmtId="0" fontId="0" fillId="13" borderId="35" xfId="0" applyFont="1" applyFill="1" applyBorder="1" applyAlignment="1">
      <alignment horizontal="center" vertical="center"/>
    </xf>
    <xf numFmtId="0" fontId="0" fillId="13" borderId="17" xfId="0" applyFont="1" applyFill="1" applyBorder="1" applyAlignment="1">
      <alignment horizontal="center" vertical="center" wrapText="1"/>
    </xf>
    <xf numFmtId="0" fontId="0" fillId="13" borderId="28" xfId="0" applyFont="1" applyFill="1" applyBorder="1" applyAlignment="1">
      <alignment horizontal="center" vertical="center"/>
    </xf>
    <xf numFmtId="0" fontId="0" fillId="14" borderId="9" xfId="0" applyFont="1" applyFill="1" applyBorder="1" applyAlignment="1">
      <alignment horizontal="center" vertical="center"/>
    </xf>
    <xf numFmtId="0" fontId="0" fillId="6" borderId="20" xfId="0" applyFill="1" applyBorder="1" applyAlignment="1">
      <alignment horizontal="center" vertical="center"/>
    </xf>
    <xf numFmtId="0" fontId="0" fillId="8" borderId="21" xfId="0" applyFill="1" applyBorder="1" applyAlignment="1">
      <alignment horizontal="center" vertical="center"/>
    </xf>
    <xf numFmtId="0" fontId="0" fillId="8" borderId="15" xfId="0" applyFill="1" applyBorder="1" applyAlignment="1">
      <alignment horizontal="center" vertical="center"/>
    </xf>
    <xf numFmtId="0" fontId="0" fillId="7" borderId="23" xfId="0" applyFill="1" applyBorder="1" applyAlignment="1">
      <alignment horizontal="center" vertical="center"/>
    </xf>
    <xf numFmtId="0" fontId="0" fillId="7" borderId="0" xfId="0" applyFill="1" applyBorder="1" applyAlignment="1">
      <alignment horizontal="center" vertical="center"/>
    </xf>
    <xf numFmtId="0" fontId="0" fillId="8" borderId="23" xfId="0" applyFill="1" applyBorder="1" applyAlignment="1">
      <alignment horizontal="center" vertical="center"/>
    </xf>
    <xf numFmtId="0" fontId="0" fillId="8" borderId="0" xfId="0" applyFill="1" applyBorder="1" applyAlignment="1">
      <alignment horizontal="center" vertical="center"/>
    </xf>
    <xf numFmtId="0" fontId="0" fillId="7" borderId="25" xfId="0" applyFill="1" applyBorder="1" applyAlignment="1">
      <alignment horizontal="center" vertical="center"/>
    </xf>
    <xf numFmtId="0" fontId="0" fillId="7" borderId="12" xfId="0" applyFill="1" applyBorder="1" applyAlignment="1">
      <alignment horizontal="center" vertical="center"/>
    </xf>
    <xf numFmtId="0" fontId="5" fillId="5" borderId="17" xfId="0" applyFont="1" applyFill="1" applyBorder="1" applyAlignment="1">
      <alignment horizontal="center" vertical="center"/>
    </xf>
    <xf numFmtId="0" fontId="0" fillId="10" borderId="23" xfId="0" applyFill="1" applyBorder="1" applyAlignment="1">
      <alignment horizontal="center" vertical="center"/>
    </xf>
    <xf numFmtId="0" fontId="0" fillId="11" borderId="23" xfId="0" applyFill="1" applyBorder="1" applyAlignment="1">
      <alignment horizontal="center" vertical="center"/>
    </xf>
    <xf numFmtId="0" fontId="0" fillId="11" borderId="26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6" borderId="28" xfId="0" applyFill="1" applyBorder="1" applyAlignment="1">
      <alignment horizontal="center" vertical="center"/>
    </xf>
    <xf numFmtId="0" fontId="0" fillId="7" borderId="21" xfId="0" applyFill="1" applyBorder="1" applyAlignment="1">
      <alignment horizontal="center" vertical="center"/>
    </xf>
    <xf numFmtId="0" fontId="0" fillId="7" borderId="15" xfId="0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6" borderId="29" xfId="0" applyFill="1" applyBorder="1" applyAlignment="1">
      <alignment horizontal="center" vertical="center"/>
    </xf>
    <xf numFmtId="0" fontId="0" fillId="7" borderId="27" xfId="0" applyFill="1" applyBorder="1" applyAlignment="1">
      <alignment horizontal="center" vertical="center"/>
    </xf>
    <xf numFmtId="0" fontId="0" fillId="7" borderId="17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8" borderId="25" xfId="0" applyFill="1" applyBorder="1" applyAlignment="1">
      <alignment horizontal="center" vertical="center"/>
    </xf>
    <xf numFmtId="0" fontId="0" fillId="8" borderId="12" xfId="0" applyFill="1" applyBorder="1" applyAlignment="1">
      <alignment horizontal="center" vertical="center"/>
    </xf>
    <xf numFmtId="0" fontId="4" fillId="10" borderId="20" xfId="0" applyFont="1" applyFill="1" applyBorder="1" applyAlignment="1">
      <alignment horizontal="center" vertical="center"/>
    </xf>
    <xf numFmtId="0" fontId="0" fillId="10" borderId="0" xfId="0" applyFill="1" applyBorder="1" applyAlignment="1">
      <alignment horizontal="center" vertical="center"/>
    </xf>
    <xf numFmtId="0" fontId="0" fillId="10" borderId="24" xfId="0" applyFill="1" applyBorder="1" applyAlignment="1">
      <alignment horizontal="center" vertical="center"/>
    </xf>
    <xf numFmtId="0" fontId="0" fillId="11" borderId="0" xfId="0" applyFill="1" applyBorder="1" applyAlignment="1">
      <alignment horizontal="center" vertical="center"/>
    </xf>
    <xf numFmtId="0" fontId="0" fillId="11" borderId="24" xfId="0" applyFill="1" applyBorder="1" applyAlignment="1">
      <alignment horizontal="center" vertical="center"/>
    </xf>
    <xf numFmtId="0" fontId="0" fillId="11" borderId="0" xfId="0" applyFill="1" applyBorder="1" applyAlignment="1">
      <alignment horizontal="center" vertical="center" wrapText="1"/>
    </xf>
    <xf numFmtId="0" fontId="0" fillId="10" borderId="0" xfId="0" applyFill="1" applyBorder="1" applyAlignment="1">
      <alignment horizontal="center" vertical="center" wrapText="1"/>
    </xf>
    <xf numFmtId="0" fontId="0" fillId="0" borderId="0" xfId="0" applyFont="1"/>
    <xf numFmtId="0" fontId="0" fillId="4" borderId="20" xfId="0" applyFill="1" applyBorder="1"/>
    <xf numFmtId="0" fontId="0" fillId="4" borderId="20" xfId="0" applyFill="1" applyBorder="1" applyAlignment="1">
      <alignment horizontal="center" vertical="center"/>
    </xf>
    <xf numFmtId="0" fontId="0" fillId="4" borderId="20" xfId="0" applyFill="1" applyBorder="1" applyAlignment="1">
      <alignment vertical="center"/>
    </xf>
    <xf numFmtId="0" fontId="0" fillId="12" borderId="20" xfId="0" applyFill="1" applyBorder="1" applyAlignment="1">
      <alignment horizontal="center" vertical="center"/>
    </xf>
    <xf numFmtId="0" fontId="0" fillId="12" borderId="20" xfId="0" applyFill="1" applyBorder="1"/>
    <xf numFmtId="0" fontId="0" fillId="15" borderId="20" xfId="0" applyFill="1" applyBorder="1"/>
    <xf numFmtId="0" fontId="0" fillId="16" borderId="20" xfId="0" applyFill="1" applyBorder="1"/>
    <xf numFmtId="0" fontId="0" fillId="17" borderId="20" xfId="0" applyFill="1" applyBorder="1"/>
    <xf numFmtId="0" fontId="0" fillId="12" borderId="20" xfId="0" applyFill="1" applyBorder="1" applyAlignment="1">
      <alignment vertical="center"/>
    </xf>
    <xf numFmtId="0" fontId="4" fillId="4" borderId="20" xfId="0" applyFont="1" applyFill="1" applyBorder="1"/>
    <xf numFmtId="0" fontId="4" fillId="12" borderId="20" xfId="0" applyFont="1" applyFill="1" applyBorder="1"/>
    <xf numFmtId="0" fontId="4" fillId="4" borderId="20" xfId="0" applyFont="1" applyFill="1" applyBorder="1" applyAlignment="1">
      <alignment horizontal="center"/>
    </xf>
    <xf numFmtId="0" fontId="4" fillId="15" borderId="20" xfId="0" applyFont="1" applyFill="1" applyBorder="1"/>
    <xf numFmtId="0" fontId="0" fillId="4" borderId="20" xfId="0" applyFill="1" applyBorder="1" applyAlignment="1"/>
    <xf numFmtId="0" fontId="4" fillId="16" borderId="20" xfId="0" applyFont="1" applyFill="1" applyBorder="1"/>
    <xf numFmtId="0" fontId="4" fillId="0" borderId="0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/>
    </xf>
    <xf numFmtId="0" fontId="4" fillId="0" borderId="0" xfId="0" applyFont="1" applyFill="1" applyBorder="1"/>
    <xf numFmtId="0" fontId="0" fillId="4" borderId="27" xfId="0" applyFill="1" applyBorder="1" applyAlignment="1">
      <alignment horizontal="center"/>
    </xf>
    <xf numFmtId="0" fontId="5" fillId="5" borderId="17" xfId="0" applyFont="1" applyFill="1" applyBorder="1" applyAlignment="1">
      <alignment horizontal="center" vertical="center"/>
    </xf>
    <xf numFmtId="0" fontId="4" fillId="15" borderId="20" xfId="0" applyFont="1" applyFill="1" applyBorder="1" applyAlignment="1">
      <alignment horizontal="center"/>
    </xf>
    <xf numFmtId="0" fontId="4" fillId="12" borderId="20" xfId="0" applyFont="1" applyFill="1" applyBorder="1" applyAlignment="1">
      <alignment horizontal="center"/>
    </xf>
    <xf numFmtId="0" fontId="0" fillId="4" borderId="17" xfId="0" applyFill="1" applyBorder="1"/>
    <xf numFmtId="0" fontId="0" fillId="15" borderId="28" xfId="0" applyFill="1" applyBorder="1"/>
    <xf numFmtId="0" fontId="0" fillId="0" borderId="0" xfId="0" applyBorder="1" applyAlignment="1">
      <alignment vertical="center"/>
    </xf>
    <xf numFmtId="0" fontId="0" fillId="8" borderId="20" xfId="0" applyFill="1" applyBorder="1" applyAlignment="1">
      <alignment horizontal="center" vertical="center" wrapText="1"/>
    </xf>
    <xf numFmtId="0" fontId="0" fillId="0" borderId="23" xfId="0" applyFill="1" applyBorder="1" applyAlignment="1">
      <alignment horizontal="center" vertical="center"/>
    </xf>
    <xf numFmtId="0" fontId="4" fillId="4" borderId="2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5" fillId="5" borderId="6" xfId="0" applyFont="1" applyFill="1" applyBorder="1" applyAlignment="1">
      <alignment horizontal="center" vertical="center" wrapText="1"/>
    </xf>
    <xf numFmtId="0" fontId="5" fillId="5" borderId="20" xfId="0" applyFont="1" applyFill="1" applyBorder="1" applyAlignment="1">
      <alignment horizontal="center" vertical="center" wrapText="1"/>
    </xf>
    <xf numFmtId="0" fontId="5" fillId="5" borderId="28" xfId="0" applyFont="1" applyFill="1" applyBorder="1" applyAlignment="1">
      <alignment horizontal="center" vertical="center" wrapText="1"/>
    </xf>
    <xf numFmtId="0" fontId="5" fillId="5" borderId="7" xfId="0" applyFont="1" applyFill="1" applyBorder="1" applyAlignment="1">
      <alignment horizontal="center" vertical="center" wrapText="1"/>
    </xf>
    <xf numFmtId="0" fontId="6" fillId="0" borderId="0" xfId="0" applyFont="1" applyFill="1" applyBorder="1" applyAlignment="1">
      <alignment horizontal="center" wrapText="1"/>
    </xf>
    <xf numFmtId="0" fontId="7" fillId="0" borderId="0" xfId="0" applyFont="1" applyFill="1" applyBorder="1" applyAlignment="1">
      <alignment wrapText="1"/>
    </xf>
    <xf numFmtId="0" fontId="7" fillId="5" borderId="0" xfId="0" applyFont="1" applyFill="1" applyAlignment="1">
      <alignment wrapText="1"/>
    </xf>
    <xf numFmtId="0" fontId="1" fillId="0" borderId="21" xfId="0" applyFont="1" applyFill="1" applyBorder="1" applyAlignment="1">
      <alignment horizontal="center"/>
    </xf>
    <xf numFmtId="0" fontId="1" fillId="0" borderId="27" xfId="0" applyFont="1" applyFill="1" applyBorder="1" applyAlignment="1">
      <alignment horizontal="center"/>
    </xf>
    <xf numFmtId="0" fontId="1" fillId="0" borderId="0" xfId="0" applyFont="1" applyBorder="1" applyAlignment="1">
      <alignment wrapText="1"/>
    </xf>
    <xf numFmtId="0" fontId="0" fillId="0" borderId="0" xfId="0" applyBorder="1" applyAlignment="1">
      <alignment wrapText="1"/>
    </xf>
    <xf numFmtId="0" fontId="4" fillId="3" borderId="20" xfId="0" applyFont="1" applyFill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12" borderId="20" xfId="0" applyFill="1" applyBorder="1" applyAlignment="1">
      <alignment horizontal="center" vertical="center"/>
    </xf>
    <xf numFmtId="0" fontId="0" fillId="11" borderId="20" xfId="0" applyFill="1" applyBorder="1"/>
    <xf numFmtId="0" fontId="0" fillId="13" borderId="36" xfId="0" applyFont="1" applyFill="1" applyBorder="1" applyAlignment="1">
      <alignment horizontal="center" vertical="center"/>
    </xf>
    <xf numFmtId="0" fontId="0" fillId="13" borderId="15" xfId="0" applyFont="1" applyFill="1" applyBorder="1" applyAlignment="1">
      <alignment horizontal="center" vertical="center" wrapText="1"/>
    </xf>
    <xf numFmtId="0" fontId="0" fillId="13" borderId="15" xfId="0" applyFont="1" applyFill="1" applyBorder="1" applyAlignment="1">
      <alignment horizontal="center" vertical="center"/>
    </xf>
    <xf numFmtId="0" fontId="0" fillId="14" borderId="12" xfId="0" applyFont="1" applyFill="1" applyBorder="1" applyAlignment="1">
      <alignment horizontal="center" vertical="center"/>
    </xf>
    <xf numFmtId="0" fontId="4" fillId="14" borderId="12" xfId="0" applyFont="1" applyFill="1" applyBorder="1" applyAlignment="1">
      <alignment horizontal="center" vertical="center" wrapText="1"/>
    </xf>
    <xf numFmtId="0" fontId="4" fillId="14" borderId="12" xfId="0" applyFont="1" applyFill="1" applyBorder="1" applyAlignment="1">
      <alignment horizontal="center" vertical="center"/>
    </xf>
    <xf numFmtId="0" fontId="0" fillId="14" borderId="26" xfId="0" applyFont="1" applyFill="1" applyBorder="1" applyAlignment="1">
      <alignment horizontal="center" vertical="center"/>
    </xf>
    <xf numFmtId="0" fontId="0" fillId="14" borderId="31" xfId="0" applyFont="1" applyFill="1" applyBorder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0" fillId="0" borderId="27" xfId="0" applyBorder="1"/>
    <xf numFmtId="0" fontId="0" fillId="11" borderId="27" xfId="0" applyFill="1" applyBorder="1"/>
    <xf numFmtId="0" fontId="0" fillId="0" borderId="17" xfId="0" applyBorder="1"/>
    <xf numFmtId="0" fontId="0" fillId="12" borderId="29" xfId="0" applyFill="1" applyBorder="1" applyAlignment="1">
      <alignment horizontal="center" vertical="center" wrapText="1"/>
    </xf>
    <xf numFmtId="0" fontId="0" fillId="3" borderId="20" xfId="0" applyFill="1" applyBorder="1" applyAlignment="1">
      <alignment horizontal="center" vertical="center"/>
    </xf>
    <xf numFmtId="0" fontId="0" fillId="10" borderId="20" xfId="0" applyFill="1" applyBorder="1" applyAlignment="1">
      <alignment horizontal="center" vertical="center" wrapText="1"/>
    </xf>
    <xf numFmtId="0" fontId="0" fillId="10" borderId="29" xfId="0" applyFill="1" applyBorder="1" applyAlignment="1">
      <alignment horizontal="center" vertical="center" wrapText="1"/>
    </xf>
    <xf numFmtId="0" fontId="0" fillId="0" borderId="20" xfId="0" applyBorder="1" applyAlignment="1">
      <alignment horizontal="center" vertical="center"/>
    </xf>
    <xf numFmtId="0" fontId="5" fillId="5" borderId="17" xfId="0" applyFont="1" applyFill="1" applyBorder="1" applyAlignment="1">
      <alignment horizontal="center" vertical="center"/>
    </xf>
    <xf numFmtId="0" fontId="0" fillId="11" borderId="25" xfId="0" applyFill="1" applyBorder="1" applyAlignment="1">
      <alignment horizontal="center" vertical="center"/>
    </xf>
    <xf numFmtId="0" fontId="0" fillId="11" borderId="12" xfId="0" applyFill="1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4" fillId="13" borderId="34" xfId="0" applyFont="1" applyFill="1" applyBorder="1" applyAlignment="1">
      <alignment horizontal="center" vertical="center"/>
    </xf>
    <xf numFmtId="0" fontId="4" fillId="13" borderId="0" xfId="0" applyFont="1" applyFill="1" applyBorder="1" applyAlignment="1">
      <alignment horizontal="center" vertical="center"/>
    </xf>
    <xf numFmtId="0" fontId="4" fillId="13" borderId="0" xfId="0" applyFont="1" applyFill="1" applyBorder="1" applyAlignment="1">
      <alignment horizontal="center" vertical="center" wrapText="1"/>
    </xf>
    <xf numFmtId="0" fontId="0" fillId="5" borderId="20" xfId="0" applyFill="1" applyBorder="1"/>
    <xf numFmtId="0" fontId="0" fillId="6" borderId="20" xfId="0" applyFill="1" applyBorder="1"/>
    <xf numFmtId="0" fontId="0" fillId="19" borderId="20" xfId="0" applyFill="1" applyBorder="1"/>
    <xf numFmtId="0" fontId="0" fillId="19" borderId="23" xfId="0" applyFill="1" applyBorder="1" applyAlignment="1">
      <alignment horizontal="center" vertical="center"/>
    </xf>
    <xf numFmtId="0" fontId="0" fillId="19" borderId="0" xfId="0" applyFill="1" applyBorder="1" applyAlignment="1">
      <alignment horizontal="center" vertical="center"/>
    </xf>
    <xf numFmtId="0" fontId="0" fillId="19" borderId="0" xfId="0" applyFill="1" applyAlignment="1">
      <alignment horizontal="center" vertical="center"/>
    </xf>
    <xf numFmtId="0" fontId="0" fillId="19" borderId="27" xfId="0" applyFill="1" applyBorder="1" applyAlignment="1">
      <alignment horizontal="center" vertical="center"/>
    </xf>
    <xf numFmtId="0" fontId="0" fillId="19" borderId="17" xfId="0" applyFill="1" applyBorder="1" applyAlignment="1">
      <alignment horizontal="center" vertical="center"/>
    </xf>
    <xf numFmtId="0" fontId="0" fillId="19" borderId="28" xfId="0" applyFont="1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0" fillId="10" borderId="20" xfId="0" applyFill="1" applyBorder="1" applyAlignment="1">
      <alignment horizontal="center" vertical="center"/>
    </xf>
    <xf numFmtId="0" fontId="4" fillId="10" borderId="29" xfId="0" applyFont="1" applyFill="1" applyBorder="1" applyAlignment="1">
      <alignment horizontal="center" vertical="center"/>
    </xf>
    <xf numFmtId="0" fontId="0" fillId="10" borderId="15" xfId="0" applyFill="1" applyBorder="1" applyAlignment="1">
      <alignment horizontal="center" vertical="center"/>
    </xf>
    <xf numFmtId="0" fontId="0" fillId="10" borderId="25" xfId="0" applyFill="1" applyBorder="1" applyAlignment="1">
      <alignment horizontal="center" vertical="center"/>
    </xf>
    <xf numFmtId="0" fontId="0" fillId="10" borderId="12" xfId="0" applyFill="1" applyBorder="1" applyAlignment="1">
      <alignment horizontal="center" vertical="center"/>
    </xf>
    <xf numFmtId="0" fontId="0" fillId="10" borderId="26" xfId="0" applyFill="1" applyBorder="1" applyAlignment="1">
      <alignment horizontal="center" vertical="center"/>
    </xf>
    <xf numFmtId="0" fontId="0" fillId="17" borderId="23" xfId="0" applyFill="1" applyBorder="1" applyAlignment="1">
      <alignment horizontal="center" vertical="center"/>
    </xf>
    <xf numFmtId="0" fontId="0" fillId="17" borderId="24" xfId="0" applyFill="1" applyBorder="1" applyAlignment="1">
      <alignment horizontal="center" vertical="center"/>
    </xf>
    <xf numFmtId="0" fontId="0" fillId="17" borderId="24" xfId="0" applyFill="1" applyBorder="1" applyAlignment="1">
      <alignment horizontal="center"/>
    </xf>
    <xf numFmtId="0" fontId="0" fillId="17" borderId="25" xfId="0" applyFill="1" applyBorder="1" applyAlignment="1">
      <alignment horizontal="center" vertical="center"/>
    </xf>
    <xf numFmtId="0" fontId="0" fillId="17" borderId="26" xfId="0" applyFill="1" applyBorder="1" applyAlignment="1">
      <alignment horizontal="center"/>
    </xf>
    <xf numFmtId="0" fontId="0" fillId="20" borderId="27" xfId="0" applyFill="1" applyBorder="1" applyAlignment="1">
      <alignment horizontal="center" vertical="center"/>
    </xf>
    <xf numFmtId="0" fontId="0" fillId="20" borderId="28" xfId="0" applyFill="1" applyBorder="1" applyAlignment="1">
      <alignment horizontal="center" vertical="center" wrapText="1"/>
    </xf>
    <xf numFmtId="0" fontId="0" fillId="20" borderId="23" xfId="0" applyFill="1" applyBorder="1" applyAlignment="1">
      <alignment horizontal="center" vertical="center"/>
    </xf>
    <xf numFmtId="0" fontId="0" fillId="20" borderId="24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/>
    <xf numFmtId="0" fontId="0" fillId="11" borderId="27" xfId="0" applyFill="1" applyBorder="1" applyAlignment="1">
      <alignment horizontal="center" vertical="center" wrapText="1"/>
    </xf>
    <xf numFmtId="0" fontId="0" fillId="11" borderId="28" xfId="0" applyFill="1" applyBorder="1" applyAlignment="1">
      <alignment horizontal="center" vertical="center"/>
    </xf>
    <xf numFmtId="0" fontId="0" fillId="11" borderId="23" xfId="0" applyFill="1" applyBorder="1" applyAlignment="1">
      <alignment horizontal="center"/>
    </xf>
    <xf numFmtId="0" fontId="0" fillId="11" borderId="24" xfId="0" applyFill="1" applyBorder="1"/>
    <xf numFmtId="0" fontId="0" fillId="6" borderId="20" xfId="0" applyFill="1" applyBorder="1" applyAlignment="1">
      <alignment vertical="center"/>
    </xf>
    <xf numFmtId="0" fontId="0" fillId="0" borderId="31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4" borderId="20" xfId="0" applyFill="1" applyBorder="1" applyAlignment="1">
      <alignment horizontal="center" vertical="center"/>
    </xf>
    <xf numFmtId="0" fontId="0" fillId="21" borderId="20" xfId="0" applyFill="1" applyBorder="1"/>
    <xf numFmtId="0" fontId="0" fillId="0" borderId="20" xfId="0" applyFill="1" applyBorder="1"/>
    <xf numFmtId="0" fontId="0" fillId="21" borderId="20" xfId="0" applyFill="1" applyBorder="1" applyAlignment="1">
      <alignment horizontal="center" vertical="center" wrapText="1"/>
    </xf>
    <xf numFmtId="0" fontId="0" fillId="0" borderId="29" xfId="0" applyBorder="1"/>
    <xf numFmtId="0" fontId="0" fillId="0" borderId="15" xfId="0" applyBorder="1"/>
    <xf numFmtId="0" fontId="0" fillId="0" borderId="29" xfId="0" applyFill="1" applyBorder="1" applyAlignment="1">
      <alignment vertical="center"/>
    </xf>
    <xf numFmtId="0" fontId="0" fillId="8" borderId="20" xfId="0" applyFill="1" applyBorder="1"/>
    <xf numFmtId="0" fontId="10" fillId="0" borderId="28" xfId="0" applyFont="1" applyBorder="1"/>
    <xf numFmtId="0" fontId="10" fillId="0" borderId="20" xfId="0" applyFont="1" applyBorder="1"/>
    <xf numFmtId="0" fontId="10" fillId="0" borderId="15" xfId="0" applyFont="1" applyBorder="1"/>
    <xf numFmtId="0" fontId="10" fillId="0" borderId="29" xfId="0" applyFont="1" applyBorder="1"/>
    <xf numFmtId="0" fontId="10" fillId="8" borderId="20" xfId="0" applyFont="1" applyFill="1" applyBorder="1"/>
    <xf numFmtId="0" fontId="10" fillId="6" borderId="20" xfId="0" applyFont="1" applyFill="1" applyBorder="1"/>
    <xf numFmtId="0" fontId="0" fillId="11" borderId="25" xfId="0" applyFill="1" applyBorder="1" applyAlignment="1">
      <alignment horizontal="center"/>
    </xf>
    <xf numFmtId="0" fontId="0" fillId="11" borderId="26" xfId="0" applyFill="1" applyBorder="1"/>
    <xf numFmtId="0" fontId="0" fillId="22" borderId="20" xfId="0" applyFill="1" applyBorder="1" applyAlignment="1">
      <alignment horizontal="center" vertical="center"/>
    </xf>
    <xf numFmtId="0" fontId="11" fillId="0" borderId="0" xfId="0" applyFont="1"/>
    <xf numFmtId="0" fontId="4" fillId="0" borderId="20" xfId="0" applyFont="1" applyBorder="1" applyAlignment="1">
      <alignment horizontal="left" vertical="center" wrapText="1"/>
    </xf>
    <xf numFmtId="0" fontId="0" fillId="0" borderId="20" xfId="0" applyBorder="1" applyAlignment="1">
      <alignment horizontal="center" vertical="center" wrapText="1"/>
    </xf>
    <xf numFmtId="0" fontId="0" fillId="4" borderId="20" xfId="0" applyFill="1" applyBorder="1" applyAlignment="1">
      <alignment horizontal="center" vertical="center" wrapText="1"/>
    </xf>
    <xf numFmtId="0" fontId="4" fillId="0" borderId="29" xfId="1" applyFont="1" applyBorder="1" applyAlignment="1">
      <alignment horizontal="center" vertical="center" wrapText="1"/>
    </xf>
    <xf numFmtId="0" fontId="0" fillId="0" borderId="20" xfId="0" applyBorder="1" applyAlignment="1">
      <alignment wrapText="1"/>
    </xf>
    <xf numFmtId="0" fontId="0" fillId="23" borderId="20" xfId="0" applyFill="1" applyBorder="1" applyAlignment="1">
      <alignment wrapText="1"/>
    </xf>
    <xf numFmtId="0" fontId="4" fillId="6" borderId="28" xfId="0" applyFont="1" applyFill="1" applyBorder="1" applyAlignment="1">
      <alignment horizontal="center" vertical="center"/>
    </xf>
    <xf numFmtId="0" fontId="4" fillId="6" borderId="20" xfId="0" applyFont="1" applyFill="1" applyBorder="1" applyAlignment="1">
      <alignment horizontal="center" vertical="center"/>
    </xf>
    <xf numFmtId="0" fontId="4" fillId="6" borderId="4" xfId="0" applyFont="1" applyFill="1" applyBorder="1" applyAlignment="1">
      <alignment horizontal="center" vertical="center" wrapText="1"/>
    </xf>
    <xf numFmtId="0" fontId="4" fillId="6" borderId="3" xfId="0" applyFont="1" applyFill="1" applyBorder="1" applyAlignment="1">
      <alignment horizontal="center" vertical="center" wrapText="1"/>
    </xf>
    <xf numFmtId="0" fontId="4" fillId="6" borderId="13" xfId="0" applyFont="1" applyFill="1" applyBorder="1" applyAlignment="1">
      <alignment horizontal="center" vertical="center" wrapText="1"/>
    </xf>
    <xf numFmtId="0" fontId="4" fillId="6" borderId="8" xfId="0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 vertical="center"/>
    </xf>
    <xf numFmtId="0" fontId="4" fillId="6" borderId="11" xfId="0" applyFont="1" applyFill="1" applyBorder="1" applyAlignment="1">
      <alignment horizontal="center" vertical="center"/>
    </xf>
    <xf numFmtId="0" fontId="4" fillId="8" borderId="4" xfId="0" applyFont="1" applyFill="1" applyBorder="1" applyAlignment="1">
      <alignment horizontal="center" vertical="center" wrapText="1"/>
    </xf>
    <xf numFmtId="0" fontId="4" fillId="8" borderId="13" xfId="0" applyFont="1" applyFill="1" applyBorder="1" applyAlignment="1">
      <alignment horizontal="center" vertical="center" wrapText="1"/>
    </xf>
    <xf numFmtId="0" fontId="4" fillId="8" borderId="9" xfId="0" applyFont="1" applyFill="1" applyBorder="1" applyAlignment="1">
      <alignment horizontal="center" vertical="center"/>
    </xf>
    <xf numFmtId="0" fontId="4" fillId="8" borderId="11" xfId="0" applyFont="1" applyFill="1" applyBorder="1" applyAlignment="1">
      <alignment horizontal="center" vertical="center"/>
    </xf>
    <xf numFmtId="0" fontId="4" fillId="8" borderId="20" xfId="0" applyFont="1" applyFill="1" applyBorder="1" applyAlignment="1">
      <alignment horizontal="center" vertical="center"/>
    </xf>
    <xf numFmtId="0" fontId="4" fillId="8" borderId="28" xfId="0" applyFont="1" applyFill="1" applyBorder="1" applyAlignment="1">
      <alignment horizontal="center" vertical="center"/>
    </xf>
    <xf numFmtId="164" fontId="4" fillId="8" borderId="28" xfId="0" applyNumberFormat="1" applyFont="1" applyFill="1" applyBorder="1" applyAlignment="1">
      <alignment horizontal="center" vertical="center"/>
    </xf>
    <xf numFmtId="0" fontId="4" fillId="6" borderId="2" xfId="0" applyFont="1" applyFill="1" applyBorder="1" applyAlignment="1">
      <alignment horizontal="center" vertical="center" wrapText="1"/>
    </xf>
    <xf numFmtId="0" fontId="4" fillId="6" borderId="10" xfId="0" applyFont="1" applyFill="1" applyBorder="1" applyAlignment="1">
      <alignment horizontal="center" vertical="center" wrapText="1"/>
    </xf>
    <xf numFmtId="0" fontId="4" fillId="8" borderId="2" xfId="0" applyFont="1" applyFill="1" applyBorder="1" applyAlignment="1">
      <alignment horizontal="center" vertical="center" wrapText="1"/>
    </xf>
    <xf numFmtId="0" fontId="4" fillId="8" borderId="10" xfId="0" applyFont="1" applyFill="1" applyBorder="1" applyAlignment="1">
      <alignment horizontal="center" vertical="center" wrapText="1"/>
    </xf>
    <xf numFmtId="0" fontId="4" fillId="8" borderId="18" xfId="0" applyFont="1" applyFill="1" applyBorder="1" applyAlignment="1">
      <alignment horizontal="center" vertical="center"/>
    </xf>
    <xf numFmtId="0" fontId="4" fillId="6" borderId="5" xfId="0" applyFont="1" applyFill="1" applyBorder="1" applyAlignment="1">
      <alignment horizontal="center" vertical="center" wrapText="1"/>
    </xf>
    <xf numFmtId="0" fontId="4" fillId="8" borderId="14" xfId="0" applyFont="1" applyFill="1" applyBorder="1" applyAlignment="1">
      <alignment horizontal="center" vertical="center" wrapText="1"/>
    </xf>
    <xf numFmtId="0" fontId="4" fillId="8" borderId="5" xfId="0" applyFont="1" applyFill="1" applyBorder="1" applyAlignment="1">
      <alignment horizontal="center" vertical="center" wrapText="1"/>
    </xf>
    <xf numFmtId="0" fontId="4" fillId="8" borderId="16" xfId="0" applyFont="1" applyFill="1" applyBorder="1" applyAlignment="1">
      <alignment horizontal="center" vertical="center" wrapText="1"/>
    </xf>
    <xf numFmtId="0" fontId="4" fillId="6" borderId="16" xfId="0" applyFont="1" applyFill="1" applyBorder="1" applyAlignment="1">
      <alignment horizontal="center" vertical="center" wrapText="1"/>
    </xf>
    <xf numFmtId="0" fontId="4" fillId="6" borderId="18" xfId="0" applyFont="1" applyFill="1" applyBorder="1" applyAlignment="1">
      <alignment horizontal="center" vertical="center"/>
    </xf>
    <xf numFmtId="0" fontId="4" fillId="6" borderId="29" xfId="0" applyFont="1" applyFill="1" applyBorder="1" applyAlignment="1">
      <alignment horizontal="center" vertical="center" wrapText="1"/>
    </xf>
    <xf numFmtId="0" fontId="4" fillId="6" borderId="31" xfId="0" applyFont="1" applyFill="1" applyBorder="1" applyAlignment="1">
      <alignment horizontal="center" vertical="center" wrapText="1"/>
    </xf>
    <xf numFmtId="0" fontId="4" fillId="8" borderId="29" xfId="0" applyFont="1" applyFill="1" applyBorder="1" applyAlignment="1">
      <alignment horizontal="center" vertical="center"/>
    </xf>
    <xf numFmtId="0" fontId="4" fillId="6" borderId="29" xfId="0" applyFont="1" applyFill="1" applyBorder="1" applyAlignment="1">
      <alignment horizontal="center" vertical="center"/>
    </xf>
    <xf numFmtId="0" fontId="4" fillId="0" borderId="32" xfId="0" applyFont="1" applyBorder="1" applyAlignment="1">
      <alignment horizontal="center" vertical="center" wrapText="1"/>
    </xf>
    <xf numFmtId="0" fontId="4" fillId="0" borderId="30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4" fillId="6" borderId="30" xfId="0" applyFont="1" applyFill="1" applyBorder="1" applyAlignment="1">
      <alignment horizontal="center" vertical="center"/>
    </xf>
    <xf numFmtId="0" fontId="4" fillId="6" borderId="31" xfId="0" applyFont="1" applyFill="1" applyBorder="1" applyAlignment="1">
      <alignment horizontal="center" vertical="center"/>
    </xf>
    <xf numFmtId="0" fontId="4" fillId="6" borderId="14" xfId="0" applyFont="1" applyFill="1" applyBorder="1" applyAlignment="1">
      <alignment horizontal="center" vertical="center" wrapText="1"/>
    </xf>
    <xf numFmtId="0" fontId="5" fillId="5" borderId="12" xfId="0" applyFont="1" applyFill="1" applyBorder="1" applyAlignment="1">
      <alignment horizontal="center"/>
    </xf>
    <xf numFmtId="0" fontId="0" fillId="0" borderId="1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12" fontId="0" fillId="0" borderId="22" xfId="0" applyNumberFormat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9" borderId="20" xfId="0" applyFill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22" borderId="27" xfId="0" applyFill="1" applyBorder="1" applyAlignment="1">
      <alignment horizontal="center" vertical="center"/>
    </xf>
    <xf numFmtId="0" fontId="0" fillId="22" borderId="17" xfId="0" applyFill="1" applyBorder="1" applyAlignment="1">
      <alignment horizontal="center" vertical="center"/>
    </xf>
    <xf numFmtId="0" fontId="0" fillId="22" borderId="28" xfId="0" applyFill="1" applyBorder="1" applyAlignment="1">
      <alignment horizontal="center" vertical="center"/>
    </xf>
    <xf numFmtId="0" fontId="5" fillId="5" borderId="20" xfId="0" applyFont="1" applyFill="1" applyBorder="1" applyAlignment="1">
      <alignment horizontal="center" vertical="center"/>
    </xf>
    <xf numFmtId="0" fontId="5" fillId="5" borderId="27" xfId="0" applyFont="1" applyFill="1" applyBorder="1" applyAlignment="1">
      <alignment horizontal="center" vertical="center"/>
    </xf>
    <xf numFmtId="0" fontId="5" fillId="5" borderId="17" xfId="0" applyFont="1" applyFill="1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5" fillId="9" borderId="23" xfId="0" applyFont="1" applyFill="1" applyBorder="1" applyAlignment="1">
      <alignment horizontal="center" vertical="center"/>
    </xf>
    <xf numFmtId="0" fontId="5" fillId="9" borderId="0" xfId="0" applyFont="1" applyFill="1" applyBorder="1" applyAlignment="1">
      <alignment horizontal="center" vertical="center"/>
    </xf>
    <xf numFmtId="0" fontId="0" fillId="18" borderId="27" xfId="0" applyFill="1" applyBorder="1" applyAlignment="1">
      <alignment horizontal="center"/>
    </xf>
    <xf numFmtId="0" fontId="0" fillId="18" borderId="17" xfId="0" applyFill="1" applyBorder="1" applyAlignment="1">
      <alignment horizontal="center"/>
    </xf>
    <xf numFmtId="0" fontId="0" fillId="18" borderId="28" xfId="0" applyFill="1" applyBorder="1" applyAlignment="1">
      <alignment horizontal="center"/>
    </xf>
    <xf numFmtId="0" fontId="0" fillId="17" borderId="27" xfId="0" applyFill="1" applyBorder="1" applyAlignment="1">
      <alignment horizontal="center"/>
    </xf>
    <xf numFmtId="0" fontId="0" fillId="17" borderId="28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0" borderId="29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31" xfId="0" applyFill="1" applyBorder="1" applyAlignment="1">
      <alignment horizontal="center" vertical="center"/>
    </xf>
    <xf numFmtId="0" fontId="0" fillId="6" borderId="20" xfId="0" applyFill="1" applyBorder="1" applyAlignment="1">
      <alignment horizontal="center"/>
    </xf>
    <xf numFmtId="0" fontId="0" fillId="18" borderId="20" xfId="0" applyFill="1" applyBorder="1" applyAlignment="1">
      <alignment horizontal="center"/>
    </xf>
    <xf numFmtId="0" fontId="0" fillId="18" borderId="25" xfId="0" applyFill="1" applyBorder="1" applyAlignment="1">
      <alignment horizontal="center"/>
    </xf>
    <xf numFmtId="0" fontId="0" fillId="18" borderId="12" xfId="0" applyFill="1" applyBorder="1" applyAlignment="1">
      <alignment horizontal="center"/>
    </xf>
    <xf numFmtId="0" fontId="0" fillId="6" borderId="27" xfId="0" applyFill="1" applyBorder="1" applyAlignment="1">
      <alignment horizontal="center"/>
    </xf>
    <xf numFmtId="0" fontId="0" fillId="6" borderId="17" xfId="0" applyFill="1" applyBorder="1" applyAlignment="1">
      <alignment horizontal="center"/>
    </xf>
    <xf numFmtId="0" fontId="0" fillId="6" borderId="28" xfId="0" applyFill="1" applyBorder="1" applyAlignment="1">
      <alignment horizontal="center"/>
    </xf>
    <xf numFmtId="0" fontId="0" fillId="4" borderId="29" xfId="0" applyFill="1" applyBorder="1" applyAlignment="1">
      <alignment horizontal="center" vertical="center"/>
    </xf>
    <xf numFmtId="0" fontId="0" fillId="4" borderId="31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/>
    </xf>
    <xf numFmtId="0" fontId="0" fillId="4" borderId="28" xfId="0" applyFill="1" applyBorder="1" applyAlignment="1">
      <alignment horizontal="center"/>
    </xf>
    <xf numFmtId="0" fontId="0" fillId="16" borderId="27" xfId="0" applyFill="1" applyBorder="1" applyAlignment="1">
      <alignment horizontal="center"/>
    </xf>
    <xf numFmtId="0" fontId="0" fillId="16" borderId="17" xfId="0" applyFill="1" applyBorder="1" applyAlignment="1">
      <alignment horizontal="center"/>
    </xf>
    <xf numFmtId="0" fontId="0" fillId="16" borderId="28" xfId="0" applyFill="1" applyBorder="1" applyAlignment="1">
      <alignment horizontal="center"/>
    </xf>
    <xf numFmtId="0" fontId="0" fillId="4" borderId="20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4" borderId="20" xfId="0" applyFill="1" applyBorder="1" applyAlignment="1">
      <alignment horizontal="center"/>
    </xf>
    <xf numFmtId="0" fontId="4" fillId="12" borderId="20" xfId="0" applyFont="1" applyFill="1" applyBorder="1" applyAlignment="1">
      <alignment horizontal="center"/>
    </xf>
    <xf numFmtId="0" fontId="4" fillId="4" borderId="20" xfId="0" applyFont="1" applyFill="1" applyBorder="1" applyAlignment="1">
      <alignment horizontal="center"/>
    </xf>
    <xf numFmtId="0" fontId="4" fillId="12" borderId="20" xfId="0" applyFont="1" applyFill="1" applyBorder="1" applyAlignment="1">
      <alignment horizontal="center" vertical="center"/>
    </xf>
    <xf numFmtId="0" fontId="4" fillId="4" borderId="29" xfId="0" applyFont="1" applyFill="1" applyBorder="1" applyAlignment="1">
      <alignment horizontal="center" vertical="center"/>
    </xf>
    <xf numFmtId="0" fontId="4" fillId="4" borderId="30" xfId="0" applyFont="1" applyFill="1" applyBorder="1" applyAlignment="1">
      <alignment horizontal="center" vertical="center"/>
    </xf>
    <xf numFmtId="0" fontId="4" fillId="4" borderId="31" xfId="0" applyFont="1" applyFill="1" applyBorder="1" applyAlignment="1">
      <alignment horizontal="center" vertical="center"/>
    </xf>
    <xf numFmtId="0" fontId="4" fillId="4" borderId="27" xfId="0" applyFont="1" applyFill="1" applyBorder="1" applyAlignment="1">
      <alignment horizontal="center"/>
    </xf>
    <xf numFmtId="0" fontId="4" fillId="4" borderId="28" xfId="0" applyFont="1" applyFill="1" applyBorder="1" applyAlignment="1">
      <alignment horizontal="center"/>
    </xf>
    <xf numFmtId="0" fontId="4" fillId="16" borderId="27" xfId="0" applyFont="1" applyFill="1" applyBorder="1" applyAlignment="1">
      <alignment horizontal="center"/>
    </xf>
    <xf numFmtId="0" fontId="4" fillId="16" borderId="17" xfId="0" applyFont="1" applyFill="1" applyBorder="1" applyAlignment="1">
      <alignment horizontal="center"/>
    </xf>
    <xf numFmtId="0" fontId="4" fillId="16" borderId="28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0" fillId="12" borderId="20" xfId="0" applyFill="1" applyBorder="1" applyAlignment="1">
      <alignment horizontal="center" vertical="center"/>
    </xf>
    <xf numFmtId="0" fontId="0" fillId="4" borderId="30" xfId="0" applyFill="1" applyBorder="1" applyAlignment="1">
      <alignment horizontal="center" vertical="center"/>
    </xf>
    <xf numFmtId="0" fontId="0" fillId="4" borderId="17" xfId="0" applyFill="1" applyBorder="1" applyAlignment="1">
      <alignment horizontal="center"/>
    </xf>
    <xf numFmtId="0" fontId="0" fillId="12" borderId="29" xfId="0" applyFill="1" applyBorder="1" applyAlignment="1">
      <alignment horizontal="center" vertical="center"/>
    </xf>
    <xf numFmtId="0" fontId="0" fillId="12" borderId="30" xfId="0" applyFill="1" applyBorder="1" applyAlignment="1">
      <alignment horizontal="center" vertical="center"/>
    </xf>
    <xf numFmtId="0" fontId="0" fillId="12" borderId="31" xfId="0" applyFill="1" applyBorder="1" applyAlignment="1">
      <alignment horizontal="center" vertical="center"/>
    </xf>
    <xf numFmtId="0" fontId="4" fillId="4" borderId="20" xfId="0" applyFont="1" applyFill="1" applyBorder="1" applyAlignment="1">
      <alignment horizontal="center" vertical="center"/>
    </xf>
    <xf numFmtId="0" fontId="0" fillId="23" borderId="20" xfId="0" applyFill="1" applyBorder="1" applyAlignment="1">
      <alignment horizontal="center" wrapText="1"/>
    </xf>
    <xf numFmtId="0" fontId="0" fillId="14" borderId="12" xfId="0" applyFont="1" applyFill="1" applyBorder="1" applyAlignment="1">
      <alignment horizontal="center" vertical="center" wrapText="1"/>
    </xf>
    <xf numFmtId="0" fontId="0" fillId="13" borderId="18" xfId="0" applyFont="1" applyFill="1" applyBorder="1" applyAlignment="1">
      <alignment horizontal="center" vertical="center" wrapText="1"/>
    </xf>
    <xf numFmtId="0" fontId="0" fillId="13" borderId="15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/>
    </xf>
    <xf numFmtId="0" fontId="0" fillId="14" borderId="19" xfId="0" applyFont="1" applyFill="1" applyBorder="1" applyAlignment="1">
      <alignment horizontal="center" vertical="center" wrapText="1"/>
    </xf>
    <xf numFmtId="0" fontId="0" fillId="14" borderId="17" xfId="0" applyFont="1" applyFill="1" applyBorder="1" applyAlignment="1">
      <alignment horizontal="center" vertical="center" wrapText="1"/>
    </xf>
    <xf numFmtId="0" fontId="0" fillId="13" borderId="19" xfId="0" applyFont="1" applyFill="1" applyBorder="1" applyAlignment="1">
      <alignment horizontal="center" vertical="center" wrapText="1"/>
    </xf>
    <xf numFmtId="0" fontId="0" fillId="13" borderId="17" xfId="0" applyFont="1" applyFill="1" applyBorder="1" applyAlignment="1">
      <alignment horizontal="center" vertical="center" wrapText="1"/>
    </xf>
    <xf numFmtId="0" fontId="4" fillId="0" borderId="20" xfId="0" applyFont="1" applyFill="1" applyBorder="1" applyAlignment="1">
      <alignment horizontal="center" vertical="center"/>
    </xf>
    <xf numFmtId="4" fontId="4" fillId="0" borderId="20" xfId="0" applyNumberFormat="1" applyFont="1" applyFill="1" applyBorder="1" applyAlignment="1">
      <alignment horizontal="center" vertical="center"/>
    </xf>
    <xf numFmtId="2" fontId="4" fillId="0" borderId="20" xfId="0" applyNumberFormat="1" applyFont="1" applyFill="1" applyBorder="1" applyAlignment="1">
      <alignment horizontal="center" vertical="center"/>
    </xf>
    <xf numFmtId="0" fontId="4" fillId="0" borderId="29" xfId="0" applyFont="1" applyFill="1" applyBorder="1" applyAlignment="1">
      <alignment horizontal="center" vertical="center" wrapText="1"/>
    </xf>
    <xf numFmtId="4" fontId="4" fillId="0" borderId="29" xfId="0" applyNumberFormat="1" applyFont="1" applyFill="1" applyBorder="1" applyAlignment="1">
      <alignment horizontal="center" vertical="center"/>
    </xf>
    <xf numFmtId="0" fontId="4" fillId="0" borderId="29" xfId="0" applyFont="1" applyFill="1" applyBorder="1" applyAlignment="1">
      <alignment horizontal="center" vertical="center"/>
    </xf>
    <xf numFmtId="0" fontId="4" fillId="0" borderId="20" xfId="0" applyFont="1" applyFill="1" applyBorder="1" applyAlignment="1">
      <alignment horizontal="left" vertical="center" wrapText="1"/>
    </xf>
    <xf numFmtId="0" fontId="4" fillId="0" borderId="20" xfId="1" applyFont="1" applyFill="1" applyBorder="1" applyAlignment="1">
      <alignment horizontal="center" vertical="center" wrapText="1"/>
    </xf>
    <xf numFmtId="0" fontId="4" fillId="0" borderId="27" xfId="0" applyFont="1" applyFill="1" applyBorder="1" applyAlignment="1">
      <alignment horizontal="center" vertical="center"/>
    </xf>
    <xf numFmtId="0" fontId="4" fillId="0" borderId="21" xfId="0" applyFont="1" applyFill="1" applyBorder="1" applyAlignment="1">
      <alignment horizontal="center" vertical="center"/>
    </xf>
    <xf numFmtId="0" fontId="13" fillId="0" borderId="0" xfId="0" applyFont="1"/>
    <xf numFmtId="0" fontId="14" fillId="0" borderId="20" xfId="0" applyFont="1" applyFill="1" applyBorder="1" applyAlignment="1">
      <alignment horizontal="center" vertical="center" wrapText="1"/>
    </xf>
    <xf numFmtId="0" fontId="14" fillId="0" borderId="20" xfId="0" applyFont="1" applyFill="1" applyBorder="1" applyAlignment="1">
      <alignment horizontal="center" vertical="center"/>
    </xf>
    <xf numFmtId="0" fontId="14" fillId="0" borderId="27" xfId="0" applyFont="1" applyFill="1" applyBorder="1" applyAlignment="1">
      <alignment horizontal="center" vertical="center"/>
    </xf>
    <xf numFmtId="4" fontId="14" fillId="0" borderId="20" xfId="0" applyNumberFormat="1" applyFont="1" applyFill="1" applyBorder="1" applyAlignment="1">
      <alignment horizontal="center" vertical="center"/>
    </xf>
    <xf numFmtId="2" fontId="14" fillId="0" borderId="20" xfId="0" applyNumberFormat="1" applyFont="1" applyFill="1" applyBorder="1" applyAlignment="1">
      <alignment horizontal="center" vertical="center"/>
    </xf>
    <xf numFmtId="0" fontId="14" fillId="0" borderId="29" xfId="0" applyFont="1" applyFill="1" applyBorder="1" applyAlignment="1">
      <alignment horizontal="center" vertical="center" wrapText="1"/>
    </xf>
    <xf numFmtId="4" fontId="14" fillId="0" borderId="29" xfId="0" applyNumberFormat="1" applyFont="1" applyFill="1" applyBorder="1" applyAlignment="1">
      <alignment horizontal="center" vertical="center"/>
    </xf>
    <xf numFmtId="0" fontId="14" fillId="0" borderId="29" xfId="0" applyFont="1" applyFill="1" applyBorder="1" applyAlignment="1">
      <alignment horizontal="center" vertical="center"/>
    </xf>
    <xf numFmtId="0" fontId="14" fillId="0" borderId="21" xfId="0" applyFont="1" applyFill="1" applyBorder="1" applyAlignment="1">
      <alignment horizontal="center" vertical="center"/>
    </xf>
    <xf numFmtId="0" fontId="14" fillId="0" borderId="20" xfId="0" applyFont="1" applyFill="1" applyBorder="1" applyAlignment="1">
      <alignment horizontal="left" vertical="center" wrapText="1"/>
    </xf>
    <xf numFmtId="0" fontId="14" fillId="0" borderId="20" xfId="1" applyFont="1" applyFill="1" applyBorder="1" applyAlignment="1">
      <alignment horizontal="center" vertical="center" wrapText="1"/>
    </xf>
  </cellXfs>
  <cellStyles count="2">
    <cellStyle name="Hiperlink" xfId="1" builtinId="8"/>
    <cellStyle name="Normal" xfId="0" builtinId="0"/>
  </cellStyles>
  <dxfs count="32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indent="0" justifyLastLine="0" shrinkToFit="0" readingOrder="0"/>
    </dxf>
    <dxf>
      <border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Medium9"/>
  <colors>
    <mruColors>
      <color rgb="FFEB4E3D"/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26" Type="http://schemas.openxmlformats.org/officeDocument/2006/relationships/image" Target="../media/image28.png"/><Relationship Id="rId3" Type="http://schemas.openxmlformats.org/officeDocument/2006/relationships/image" Target="../media/image5.png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20" Type="http://schemas.openxmlformats.org/officeDocument/2006/relationships/image" Target="../media/image22.png"/><Relationship Id="rId29" Type="http://schemas.openxmlformats.org/officeDocument/2006/relationships/image" Target="../media/image31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png"/><Relationship Id="rId5" Type="http://schemas.openxmlformats.org/officeDocument/2006/relationships/image" Target="../media/image7.jpeg"/><Relationship Id="rId15" Type="http://schemas.openxmlformats.org/officeDocument/2006/relationships/image" Target="../media/image17.png"/><Relationship Id="rId23" Type="http://schemas.openxmlformats.org/officeDocument/2006/relationships/image" Target="../media/image25.png"/><Relationship Id="rId28" Type="http://schemas.openxmlformats.org/officeDocument/2006/relationships/image" Target="../media/image30.png"/><Relationship Id="rId10" Type="http://schemas.openxmlformats.org/officeDocument/2006/relationships/image" Target="../media/image12.jpeg"/><Relationship Id="rId19" Type="http://schemas.openxmlformats.org/officeDocument/2006/relationships/image" Target="../media/image21.jpeg"/><Relationship Id="rId31" Type="http://schemas.openxmlformats.org/officeDocument/2006/relationships/image" Target="../media/image33.png"/><Relationship Id="rId4" Type="http://schemas.openxmlformats.org/officeDocument/2006/relationships/image" Target="../media/image6.jpeg"/><Relationship Id="rId9" Type="http://schemas.openxmlformats.org/officeDocument/2006/relationships/image" Target="../media/image11.png"/><Relationship Id="rId14" Type="http://schemas.openxmlformats.org/officeDocument/2006/relationships/image" Target="../media/image16.jpe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jpeg"/><Relationship Id="rId35" Type="http://schemas.openxmlformats.org/officeDocument/2006/relationships/image" Target="../media/image37.png"/><Relationship Id="rId8" Type="http://schemas.openxmlformats.org/officeDocument/2006/relationships/image" Target="../media/image1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0</xdr:row>
      <xdr:rowOff>180975</xdr:rowOff>
    </xdr:from>
    <xdr:to>
      <xdr:col>21</xdr:col>
      <xdr:colOff>450058</xdr:colOff>
      <xdr:row>33</xdr:row>
      <xdr:rowOff>14287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62BBB5A-FF16-42EB-B660-466477960B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0053" t="12323" r="60157" b="4333"/>
        <a:stretch/>
      </xdr:blipFill>
      <xdr:spPr>
        <a:xfrm>
          <a:off x="5524500" y="180975"/>
          <a:ext cx="7727158" cy="611981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692242</xdr:colOff>
      <xdr:row>27</xdr:row>
      <xdr:rowOff>0</xdr:rowOff>
    </xdr:from>
    <xdr:to>
      <xdr:col>17</xdr:col>
      <xdr:colOff>442232</xdr:colOff>
      <xdr:row>43</xdr:row>
      <xdr:rowOff>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8287F513-825C-425D-8CE9-5E1CEBB6B3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137" t="14325" r="5068" b="26330"/>
        <a:stretch/>
      </xdr:blipFill>
      <xdr:spPr>
        <a:xfrm>
          <a:off x="7235917" y="5524500"/>
          <a:ext cx="8360590" cy="3048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269875</xdr:colOff>
      <xdr:row>1</xdr:row>
      <xdr:rowOff>71437</xdr:rowOff>
    </xdr:from>
    <xdr:to>
      <xdr:col>0</xdr:col>
      <xdr:colOff>1579563</xdr:colOff>
      <xdr:row>1</xdr:row>
      <xdr:rowOff>1107854</xdr:rowOff>
    </xdr:to>
    <xdr:pic>
      <xdr:nvPicPr>
        <xdr:cNvPr id="2" name="Imagem 1" descr="Resultado de imagem para Plafon Quadrado com Cristal, WEE, MY-93128L/C6, Cromado">
          <a:extLst>
            <a:ext uri="{FF2B5EF4-FFF2-40B4-BE49-F238E27FC236}">
              <a16:creationId xmlns:a16="http://schemas.microsoft.com/office/drawing/2014/main" id="{9745EFD8-5A94-4328-8CD1-7315924591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75" y="261937"/>
          <a:ext cx="1309688" cy="10364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261938</xdr:colOff>
      <xdr:row>2</xdr:row>
      <xdr:rowOff>7937</xdr:rowOff>
    </xdr:from>
    <xdr:to>
      <xdr:col>0</xdr:col>
      <xdr:colOff>1470218</xdr:colOff>
      <xdr:row>2</xdr:row>
      <xdr:rowOff>1317625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A88763C-6B9F-45AA-B0BB-B34BAFED37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938" y="1325562"/>
          <a:ext cx="1208280" cy="1309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3</xdr:row>
      <xdr:rowOff>28574</xdr:rowOff>
    </xdr:from>
    <xdr:to>
      <xdr:col>0</xdr:col>
      <xdr:colOff>1447800</xdr:colOff>
      <xdr:row>3</xdr:row>
      <xdr:rowOff>887557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2451C120-BEAA-4C6D-A3F0-4D1751790C6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66"/>
        <a:stretch/>
      </xdr:blipFill>
      <xdr:spPr bwMode="auto">
        <a:xfrm>
          <a:off x="200025" y="2705099"/>
          <a:ext cx="1247775" cy="8572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355023</xdr:colOff>
      <xdr:row>4</xdr:row>
      <xdr:rowOff>34638</xdr:rowOff>
    </xdr:from>
    <xdr:to>
      <xdr:col>0</xdr:col>
      <xdr:colOff>1160318</xdr:colOff>
      <xdr:row>4</xdr:row>
      <xdr:rowOff>841860</xdr:rowOff>
    </xdr:to>
    <xdr:pic>
      <xdr:nvPicPr>
        <xdr:cNvPr id="5" name="Imagem 4" descr="LÃ¢mpada LED Bulbo Filamento 4W Luz Amarela Bivolt Empalux">
          <a:extLst>
            <a:ext uri="{FF2B5EF4-FFF2-40B4-BE49-F238E27FC236}">
              <a16:creationId xmlns:a16="http://schemas.microsoft.com/office/drawing/2014/main" id="{8AA97C97-57A5-443E-B3AD-8C93FA589F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5023" y="3636820"/>
          <a:ext cx="805295" cy="807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181840</xdr:colOff>
      <xdr:row>5</xdr:row>
      <xdr:rowOff>43295</xdr:rowOff>
    </xdr:from>
    <xdr:to>
      <xdr:col>0</xdr:col>
      <xdr:colOff>1447888</xdr:colOff>
      <xdr:row>5</xdr:row>
      <xdr:rowOff>1099705</xdr:rowOff>
    </xdr:to>
    <xdr:pic>
      <xdr:nvPicPr>
        <xdr:cNvPr id="6" name="Imagem 5" descr="Resultado de imagem para luminÃ¡ria embutida teto">
          <a:extLst>
            <a:ext uri="{FF2B5EF4-FFF2-40B4-BE49-F238E27FC236}">
              <a16:creationId xmlns:a16="http://schemas.microsoft.com/office/drawing/2014/main" id="{45A50DB0-81E9-4138-AE05-588E7225246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88" t="11039" b="9741"/>
        <a:stretch/>
      </xdr:blipFill>
      <xdr:spPr bwMode="auto">
        <a:xfrm>
          <a:off x="181840" y="4563340"/>
          <a:ext cx="1266048" cy="10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304800</xdr:colOff>
      <xdr:row>5</xdr:row>
      <xdr:rowOff>304800</xdr:rowOff>
    </xdr:to>
    <xdr:sp macro="" textlink="">
      <xdr:nvSpPr>
        <xdr:cNvPr id="1026" name="AutoShape 2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B1C2D835-DEB6-488F-A742-AA528E26F2A8}"/>
            </a:ext>
          </a:extLst>
        </xdr:cNvPr>
        <xdr:cNvSpPr>
          <a:spLocks noChangeAspect="1" noChangeArrowheads="1"/>
        </xdr:cNvSpPr>
      </xdr:nvSpPr>
      <xdr:spPr bwMode="auto">
        <a:xfrm>
          <a:off x="4048125" y="451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304800</xdr:colOff>
      <xdr:row>5</xdr:row>
      <xdr:rowOff>304800</xdr:rowOff>
    </xdr:to>
    <xdr:sp macro="" textlink="">
      <xdr:nvSpPr>
        <xdr:cNvPr id="1027" name="AutoShape 3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DDCA16D4-CC56-46A7-8859-EE3E03E43B51}"/>
            </a:ext>
          </a:extLst>
        </xdr:cNvPr>
        <xdr:cNvSpPr>
          <a:spLocks noChangeAspect="1" noChangeArrowheads="1"/>
        </xdr:cNvSpPr>
      </xdr:nvSpPr>
      <xdr:spPr bwMode="auto">
        <a:xfrm>
          <a:off x="4048125" y="451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304800</xdr:colOff>
      <xdr:row>7</xdr:row>
      <xdr:rowOff>307181</xdr:rowOff>
    </xdr:to>
    <xdr:sp macro="" textlink="">
      <xdr:nvSpPr>
        <xdr:cNvPr id="1029" name="AutoShape 5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FFDBF020-A3B6-428B-9407-9D88E08615AB}"/>
            </a:ext>
          </a:extLst>
        </xdr:cNvPr>
        <xdr:cNvSpPr>
          <a:spLocks noChangeAspect="1" noChangeArrowheads="1"/>
        </xdr:cNvSpPr>
      </xdr:nvSpPr>
      <xdr:spPr bwMode="auto">
        <a:xfrm>
          <a:off x="0" y="58959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304800</xdr:colOff>
      <xdr:row>7</xdr:row>
      <xdr:rowOff>307181</xdr:rowOff>
    </xdr:to>
    <xdr:sp macro="" textlink="">
      <xdr:nvSpPr>
        <xdr:cNvPr id="1030" name="AutoShape 6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06ED228D-899E-42BE-AB31-97740BC0A0C6}"/>
            </a:ext>
          </a:extLst>
        </xdr:cNvPr>
        <xdr:cNvSpPr>
          <a:spLocks noChangeAspect="1" noChangeArrowheads="1"/>
        </xdr:cNvSpPr>
      </xdr:nvSpPr>
      <xdr:spPr bwMode="auto">
        <a:xfrm>
          <a:off x="0" y="58959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202407</xdr:colOff>
      <xdr:row>6</xdr:row>
      <xdr:rowOff>59531</xdr:rowOff>
    </xdr:from>
    <xdr:to>
      <xdr:col>0</xdr:col>
      <xdr:colOff>1381125</xdr:colOff>
      <xdr:row>7</xdr:row>
      <xdr:rowOff>3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802C9A58-D34A-4C8F-80FC-B8F9D4E53F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07" y="5750719"/>
          <a:ext cx="1178718" cy="1340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83344</xdr:colOff>
      <xdr:row>7</xdr:row>
      <xdr:rowOff>71436</xdr:rowOff>
    </xdr:from>
    <xdr:to>
      <xdr:col>0</xdr:col>
      <xdr:colOff>1627183</xdr:colOff>
      <xdr:row>7</xdr:row>
      <xdr:rowOff>1631155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5468F35E-419F-40BB-ACA9-CC80F48438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344" y="7167561"/>
          <a:ext cx="1543839" cy="1559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419100</xdr:colOff>
      <xdr:row>8</xdr:row>
      <xdr:rowOff>47625</xdr:rowOff>
    </xdr:from>
    <xdr:to>
      <xdr:col>0</xdr:col>
      <xdr:colOff>1171576</xdr:colOff>
      <xdr:row>8</xdr:row>
      <xdr:rowOff>1143000</xdr:rowOff>
    </xdr:to>
    <xdr:pic>
      <xdr:nvPicPr>
        <xdr:cNvPr id="15" name="Imagem 14" descr="https://www.inspirehome.com.br/media/catalog/product/cache/1/image/9df78eab33525d08d6e5fb8d27136e95/1/0/1004760-A_3.jpg">
          <a:extLst>
            <a:ext uri="{FF2B5EF4-FFF2-40B4-BE49-F238E27FC236}">
              <a16:creationId xmlns:a16="http://schemas.microsoft.com/office/drawing/2014/main" id="{90AB0057-CC77-4830-92DB-57F35382087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833" t="18105" r="26504" b="16831"/>
        <a:stretch/>
      </xdr:blipFill>
      <xdr:spPr bwMode="auto">
        <a:xfrm>
          <a:off x="419100" y="8858250"/>
          <a:ext cx="752476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95251</xdr:colOff>
      <xdr:row>9</xdr:row>
      <xdr:rowOff>47625</xdr:rowOff>
    </xdr:from>
    <xdr:to>
      <xdr:col>0</xdr:col>
      <xdr:colOff>1600201</xdr:colOff>
      <xdr:row>9</xdr:row>
      <xdr:rowOff>1081028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2C86B46D-CC2D-4200-BB84-34D1AEFABC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18" t="15528" b="12422"/>
        <a:stretch/>
      </xdr:blipFill>
      <xdr:spPr bwMode="auto">
        <a:xfrm>
          <a:off x="95251" y="10058400"/>
          <a:ext cx="1504950" cy="10334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371475</xdr:colOff>
      <xdr:row>10</xdr:row>
      <xdr:rowOff>76200</xdr:rowOff>
    </xdr:from>
    <xdr:to>
      <xdr:col>0</xdr:col>
      <xdr:colOff>1123950</xdr:colOff>
      <xdr:row>10</xdr:row>
      <xdr:rowOff>974989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15049457-2AF8-4D43-AC32-7FDE2A3C2A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1229975"/>
          <a:ext cx="752475" cy="898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57151</xdr:colOff>
      <xdr:row>11</xdr:row>
      <xdr:rowOff>28575</xdr:rowOff>
    </xdr:from>
    <xdr:to>
      <xdr:col>0</xdr:col>
      <xdr:colOff>1552575</xdr:colOff>
      <xdr:row>11</xdr:row>
      <xdr:rowOff>1668634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7CB422BB-81BE-409F-86C2-D08AD94A6D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1" y="12287250"/>
          <a:ext cx="1495424" cy="1640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523876</xdr:colOff>
      <xdr:row>12</xdr:row>
      <xdr:rowOff>57151</xdr:rowOff>
    </xdr:from>
    <xdr:to>
      <xdr:col>0</xdr:col>
      <xdr:colOff>1120806</xdr:colOff>
      <xdr:row>12</xdr:row>
      <xdr:rowOff>1200151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CA21C96A-980A-48D9-A64A-805DB6C81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6" y="14058901"/>
          <a:ext cx="59693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47625</xdr:rowOff>
    </xdr:from>
    <xdr:to>
      <xdr:col>0</xdr:col>
      <xdr:colOff>1709154</xdr:colOff>
      <xdr:row>13</xdr:row>
      <xdr:rowOff>742950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D2696D19-3EEA-426B-AA58-9806792C1D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16200"/>
          <a:ext cx="1709154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428626</xdr:colOff>
      <xdr:row>14</xdr:row>
      <xdr:rowOff>28576</xdr:rowOff>
    </xdr:from>
    <xdr:to>
      <xdr:col>0</xdr:col>
      <xdr:colOff>1209675</xdr:colOff>
      <xdr:row>14</xdr:row>
      <xdr:rowOff>1019331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4D2EC59C-4585-4B2B-8244-220FE3981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6" y="16116301"/>
          <a:ext cx="781049" cy="990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266700</xdr:colOff>
      <xdr:row>15</xdr:row>
      <xdr:rowOff>53975</xdr:rowOff>
    </xdr:from>
    <xdr:to>
      <xdr:col>0</xdr:col>
      <xdr:colOff>1571625</xdr:colOff>
      <xdr:row>15</xdr:row>
      <xdr:rowOff>1524000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C6AE6C7F-E96F-468E-9118-3F15876B5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17360900"/>
          <a:ext cx="1304925" cy="147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333375</xdr:colOff>
      <xdr:row>16</xdr:row>
      <xdr:rowOff>76200</xdr:rowOff>
    </xdr:from>
    <xdr:to>
      <xdr:col>0</xdr:col>
      <xdr:colOff>1480650</xdr:colOff>
      <xdr:row>16</xdr:row>
      <xdr:rowOff>1228726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3825E06B-F094-4705-8953-C35D1AE33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8983325"/>
          <a:ext cx="1147275" cy="1152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32458</xdr:rowOff>
    </xdr:from>
    <xdr:to>
      <xdr:col>0</xdr:col>
      <xdr:colOff>1571625</xdr:colOff>
      <xdr:row>17</xdr:row>
      <xdr:rowOff>2085975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A773AFAB-E845-4546-ADCD-0E08C3FB74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92158"/>
          <a:ext cx="1571625" cy="2053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285749</xdr:colOff>
      <xdr:row>18</xdr:row>
      <xdr:rowOff>27111</xdr:rowOff>
    </xdr:from>
    <xdr:to>
      <xdr:col>0</xdr:col>
      <xdr:colOff>1333499</xdr:colOff>
      <xdr:row>18</xdr:row>
      <xdr:rowOff>1567542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A6B7717F-2385-4EBE-BB30-A697A92A63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49" y="22764647"/>
          <a:ext cx="1047750" cy="1540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503465</xdr:colOff>
      <xdr:row>19</xdr:row>
      <xdr:rowOff>18462</xdr:rowOff>
    </xdr:from>
    <xdr:to>
      <xdr:col>0</xdr:col>
      <xdr:colOff>1279072</xdr:colOff>
      <xdr:row>19</xdr:row>
      <xdr:rowOff>1155245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DEA61CEE-DBCB-4CC1-8BA9-4F3044C8E7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5" y="24416069"/>
          <a:ext cx="775607" cy="11367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312965</xdr:colOff>
      <xdr:row>20</xdr:row>
      <xdr:rowOff>43546</xdr:rowOff>
    </xdr:from>
    <xdr:to>
      <xdr:col>0</xdr:col>
      <xdr:colOff>1197430</xdr:colOff>
      <xdr:row>20</xdr:row>
      <xdr:rowOff>1386567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637CEAEF-477C-469F-94F9-9575AF2E8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965" y="25747439"/>
          <a:ext cx="884465" cy="134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204109</xdr:colOff>
      <xdr:row>21</xdr:row>
      <xdr:rowOff>94927</xdr:rowOff>
    </xdr:from>
    <xdr:to>
      <xdr:col>0</xdr:col>
      <xdr:colOff>1115787</xdr:colOff>
      <xdr:row>21</xdr:row>
      <xdr:rowOff>1442356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E7F1D23-A8D5-469A-B2B1-ABDB861666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109" y="27322820"/>
          <a:ext cx="911678" cy="1347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340179</xdr:colOff>
      <xdr:row>22</xdr:row>
      <xdr:rowOff>34541</xdr:rowOff>
    </xdr:from>
    <xdr:to>
      <xdr:col>0</xdr:col>
      <xdr:colOff>1279072</xdr:colOff>
      <xdr:row>22</xdr:row>
      <xdr:rowOff>1383846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E3AD068B-7462-48C8-ACEA-7C12B72A63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179" y="28772827"/>
          <a:ext cx="938893" cy="134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231322</xdr:colOff>
      <xdr:row>23</xdr:row>
      <xdr:rowOff>30701</xdr:rowOff>
    </xdr:from>
    <xdr:to>
      <xdr:col>0</xdr:col>
      <xdr:colOff>1510394</xdr:colOff>
      <xdr:row>23</xdr:row>
      <xdr:rowOff>1801586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A9F71390-F5F9-45C1-AC74-E7BA6E9CA7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322" y="30197737"/>
          <a:ext cx="1279072" cy="1770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380999</xdr:colOff>
      <xdr:row>24</xdr:row>
      <xdr:rowOff>40822</xdr:rowOff>
    </xdr:from>
    <xdr:to>
      <xdr:col>0</xdr:col>
      <xdr:colOff>1388752</xdr:colOff>
      <xdr:row>24</xdr:row>
      <xdr:rowOff>1601562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691540CF-BEA0-43C7-9A86-27C888D0CF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999" y="32194501"/>
          <a:ext cx="1007753" cy="1560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299358</xdr:colOff>
      <xdr:row>25</xdr:row>
      <xdr:rowOff>81642</xdr:rowOff>
    </xdr:from>
    <xdr:to>
      <xdr:col>0</xdr:col>
      <xdr:colOff>1415143</xdr:colOff>
      <xdr:row>25</xdr:row>
      <xdr:rowOff>1705644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6DC45737-EF72-41F0-9C21-5C61F71DAA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34097" t="15069" r="35361" b="5867"/>
        <a:stretch/>
      </xdr:blipFill>
      <xdr:spPr>
        <a:xfrm>
          <a:off x="299358" y="34058678"/>
          <a:ext cx="1115785" cy="1624002"/>
        </a:xfrm>
        <a:prstGeom prst="rect">
          <a:avLst/>
        </a:prstGeom>
      </xdr:spPr>
    </xdr:pic>
    <xdr:clientData/>
  </xdr:twoCellAnchor>
  <xdr:twoCellAnchor editAs="oneCell">
    <xdr:from>
      <xdr:col>0</xdr:col>
      <xdr:colOff>340178</xdr:colOff>
      <xdr:row>26</xdr:row>
      <xdr:rowOff>81642</xdr:rowOff>
    </xdr:from>
    <xdr:to>
      <xdr:col>0</xdr:col>
      <xdr:colOff>1442356</xdr:colOff>
      <xdr:row>26</xdr:row>
      <xdr:rowOff>1622442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4BCFADE5-22BB-4AA6-81F3-BBFC0272D7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39222" t="28835" r="40277" b="20191"/>
        <a:stretch/>
      </xdr:blipFill>
      <xdr:spPr>
        <a:xfrm>
          <a:off x="340178" y="35977285"/>
          <a:ext cx="1102178" cy="1540800"/>
        </a:xfrm>
        <a:prstGeom prst="rect">
          <a:avLst/>
        </a:prstGeom>
      </xdr:spPr>
    </xdr:pic>
    <xdr:clientData/>
  </xdr:twoCellAnchor>
  <xdr:twoCellAnchor editAs="oneCell">
    <xdr:from>
      <xdr:col>0</xdr:col>
      <xdr:colOff>244929</xdr:colOff>
      <xdr:row>27</xdr:row>
      <xdr:rowOff>108857</xdr:rowOff>
    </xdr:from>
    <xdr:to>
      <xdr:col>0</xdr:col>
      <xdr:colOff>1333501</xdr:colOff>
      <xdr:row>27</xdr:row>
      <xdr:rowOff>1664485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B5F0F2BC-B73D-4DCD-8A60-A6D46A1C0A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33889" t="15069" r="35152" b="6239"/>
        <a:stretch/>
      </xdr:blipFill>
      <xdr:spPr>
        <a:xfrm>
          <a:off x="244929" y="37691786"/>
          <a:ext cx="1088572" cy="1555628"/>
        </a:xfrm>
        <a:prstGeom prst="rect">
          <a:avLst/>
        </a:prstGeom>
      </xdr:spPr>
    </xdr:pic>
    <xdr:clientData/>
  </xdr:twoCellAnchor>
  <xdr:twoCellAnchor editAs="oneCell">
    <xdr:from>
      <xdr:col>0</xdr:col>
      <xdr:colOff>217715</xdr:colOff>
      <xdr:row>28</xdr:row>
      <xdr:rowOff>68036</xdr:rowOff>
    </xdr:from>
    <xdr:to>
      <xdr:col>0</xdr:col>
      <xdr:colOff>1609834</xdr:colOff>
      <xdr:row>28</xdr:row>
      <xdr:rowOff>1251858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EA9F5C97-CD9C-4085-958D-F8A44904B2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29913" t="19534" r="28144" b="17029"/>
        <a:stretch/>
      </xdr:blipFill>
      <xdr:spPr>
        <a:xfrm>
          <a:off x="217715" y="39433500"/>
          <a:ext cx="1392119" cy="1183822"/>
        </a:xfrm>
        <a:prstGeom prst="rect">
          <a:avLst/>
        </a:prstGeom>
      </xdr:spPr>
    </xdr:pic>
    <xdr:clientData/>
  </xdr:twoCellAnchor>
  <xdr:twoCellAnchor editAs="oneCell">
    <xdr:from>
      <xdr:col>0</xdr:col>
      <xdr:colOff>176892</xdr:colOff>
      <xdr:row>29</xdr:row>
      <xdr:rowOff>68034</xdr:rowOff>
    </xdr:from>
    <xdr:to>
      <xdr:col>0</xdr:col>
      <xdr:colOff>1578429</xdr:colOff>
      <xdr:row>29</xdr:row>
      <xdr:rowOff>1393297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9444FD1E-8677-4C1D-BD24-3369A00A2E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33993" t="26231" r="35257" b="22051"/>
        <a:stretch/>
      </xdr:blipFill>
      <xdr:spPr>
        <a:xfrm>
          <a:off x="176892" y="40753391"/>
          <a:ext cx="1401537" cy="1325263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272145</xdr:colOff>
      <xdr:row>30</xdr:row>
      <xdr:rowOff>95249</xdr:rowOff>
    </xdr:from>
    <xdr:to>
      <xdr:col>0</xdr:col>
      <xdr:colOff>1543563</xdr:colOff>
      <xdr:row>30</xdr:row>
      <xdr:rowOff>1510393</xdr:rowOff>
    </xdr:to>
    <xdr:pic>
      <xdr:nvPicPr>
        <xdr:cNvPr id="36" name="Imagem 35" descr="Resultado de imagem para caixa de passagem  embutir na parede tigre">
          <a:extLst>
            <a:ext uri="{FF2B5EF4-FFF2-40B4-BE49-F238E27FC236}">
              <a16:creationId xmlns:a16="http://schemas.microsoft.com/office/drawing/2014/main" id="{A59520E7-2C4F-4E64-8D2C-2AA2C1082E9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85" t="5879" r="21559" b="5569"/>
        <a:stretch/>
      </xdr:blipFill>
      <xdr:spPr bwMode="auto">
        <a:xfrm>
          <a:off x="272145" y="42345428"/>
          <a:ext cx="1271418" cy="1415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176892</xdr:colOff>
      <xdr:row>31</xdr:row>
      <xdr:rowOff>68035</xdr:rowOff>
    </xdr:from>
    <xdr:to>
      <xdr:col>0</xdr:col>
      <xdr:colOff>1605642</xdr:colOff>
      <xdr:row>31</xdr:row>
      <xdr:rowOff>1463035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8C01E515-D54C-44C7-9438-DF24B33CAB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7427" t="33672" r="66006" b="20192"/>
        <a:stretch/>
      </xdr:blipFill>
      <xdr:spPr>
        <a:xfrm>
          <a:off x="176892" y="44168785"/>
          <a:ext cx="1428750" cy="13950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179613</xdr:colOff>
      <xdr:row>32</xdr:row>
      <xdr:rowOff>111577</xdr:rowOff>
    </xdr:from>
    <xdr:to>
      <xdr:col>0</xdr:col>
      <xdr:colOff>1608363</xdr:colOff>
      <xdr:row>32</xdr:row>
      <xdr:rowOff>1506577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41553F48-0179-498A-BFA7-411FAAD613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7427" t="33672" r="66006" b="20192"/>
        <a:stretch/>
      </xdr:blipFill>
      <xdr:spPr>
        <a:xfrm>
          <a:off x="179613" y="45831577"/>
          <a:ext cx="1428750" cy="1395000"/>
        </a:xfrm>
        <a:prstGeom prst="rect">
          <a:avLst/>
        </a:prstGeom>
      </xdr:spPr>
    </xdr:pic>
    <xdr:clientData/>
  </xdr:twoCellAnchor>
  <xdr:twoCellAnchor editAs="oneCell">
    <xdr:from>
      <xdr:col>0</xdr:col>
      <xdr:colOff>176893</xdr:colOff>
      <xdr:row>33</xdr:row>
      <xdr:rowOff>95251</xdr:rowOff>
    </xdr:from>
    <xdr:to>
      <xdr:col>0</xdr:col>
      <xdr:colOff>1646029</xdr:colOff>
      <xdr:row>33</xdr:row>
      <xdr:rowOff>1619251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8742A577-63F6-4663-AA9E-5B1F91B192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7740" t="33487" r="67053" b="20004"/>
        <a:stretch/>
      </xdr:blipFill>
      <xdr:spPr>
        <a:xfrm>
          <a:off x="176893" y="47461715"/>
          <a:ext cx="1469136" cy="1524000"/>
        </a:xfrm>
        <a:prstGeom prst="rect">
          <a:avLst/>
        </a:prstGeom>
      </xdr:spPr>
    </xdr:pic>
    <xdr:clientData/>
  </xdr:twoCellAnchor>
  <xdr:twoCellAnchor editAs="oneCell">
    <xdr:from>
      <xdr:col>0</xdr:col>
      <xdr:colOff>149679</xdr:colOff>
      <xdr:row>34</xdr:row>
      <xdr:rowOff>95250</xdr:rowOff>
    </xdr:from>
    <xdr:to>
      <xdr:col>0</xdr:col>
      <xdr:colOff>1564823</xdr:colOff>
      <xdr:row>34</xdr:row>
      <xdr:rowOff>1466683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B7BB91FF-6A23-489B-BE17-5E04D701A6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7112" t="33672" r="65798" b="19633"/>
        <a:stretch/>
      </xdr:blipFill>
      <xdr:spPr>
        <a:xfrm>
          <a:off x="149679" y="49353107"/>
          <a:ext cx="1415144" cy="1371433"/>
        </a:xfrm>
        <a:prstGeom prst="rect">
          <a:avLst/>
        </a:prstGeom>
      </xdr:spPr>
    </xdr:pic>
    <xdr:clientData/>
  </xdr:twoCellAnchor>
  <xdr:twoCellAnchor editAs="oneCell">
    <xdr:from>
      <xdr:col>0</xdr:col>
      <xdr:colOff>68036</xdr:colOff>
      <xdr:row>35</xdr:row>
      <xdr:rowOff>122464</xdr:rowOff>
    </xdr:from>
    <xdr:to>
      <xdr:col>0</xdr:col>
      <xdr:colOff>1700893</xdr:colOff>
      <xdr:row>35</xdr:row>
      <xdr:rowOff>1201520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C27593C6-170B-4CEF-B714-B6C8C61614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55121" t="44462" r="14965" b="20377"/>
        <a:stretch/>
      </xdr:blipFill>
      <xdr:spPr>
        <a:xfrm>
          <a:off x="68036" y="50999571"/>
          <a:ext cx="1632857" cy="1079056"/>
        </a:xfrm>
        <a:prstGeom prst="rect">
          <a:avLst/>
        </a:prstGeom>
      </xdr:spPr>
    </xdr:pic>
    <xdr:clientData/>
  </xdr:twoCellAnchor>
  <xdr:twoCellAnchor editAs="oneCell">
    <xdr:from>
      <xdr:col>0</xdr:col>
      <xdr:colOff>122463</xdr:colOff>
      <xdr:row>36</xdr:row>
      <xdr:rowOff>122465</xdr:rowOff>
    </xdr:from>
    <xdr:to>
      <xdr:col>0</xdr:col>
      <xdr:colOff>1671177</xdr:colOff>
      <xdr:row>36</xdr:row>
      <xdr:rowOff>1401536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E7F20589-695D-4667-A7AE-E466B35293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l="20919" t="36648" r="55652" b="28935"/>
        <a:stretch/>
      </xdr:blipFill>
      <xdr:spPr>
        <a:xfrm>
          <a:off x="122463" y="52333072"/>
          <a:ext cx="1548714" cy="127907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</xdr:row>
      <xdr:rowOff>0</xdr:rowOff>
    </xdr:from>
    <xdr:to>
      <xdr:col>3</xdr:col>
      <xdr:colOff>304800</xdr:colOff>
      <xdr:row>14</xdr:row>
      <xdr:rowOff>114300</xdr:rowOff>
    </xdr:to>
    <xdr:sp macro="" textlink="">
      <xdr:nvSpPr>
        <xdr:cNvPr id="7" name="AutoShape 2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63AAAB5B-5233-459E-9CF9-02CC75619C23}"/>
            </a:ext>
          </a:extLst>
        </xdr:cNvPr>
        <xdr:cNvSpPr>
          <a:spLocks noChangeAspect="1" noChangeArrowheads="1"/>
        </xdr:cNvSpPr>
      </xdr:nvSpPr>
      <xdr:spPr bwMode="auto">
        <a:xfrm>
          <a:off x="4295775" y="451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304800</xdr:colOff>
      <xdr:row>14</xdr:row>
      <xdr:rowOff>114300</xdr:rowOff>
    </xdr:to>
    <xdr:sp macro="" textlink="">
      <xdr:nvSpPr>
        <xdr:cNvPr id="8" name="AutoShape 3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4556A577-095B-495C-BB23-BFAD5B5FF21D}"/>
            </a:ext>
          </a:extLst>
        </xdr:cNvPr>
        <xdr:cNvSpPr>
          <a:spLocks noChangeAspect="1" noChangeArrowheads="1"/>
        </xdr:cNvSpPr>
      </xdr:nvSpPr>
      <xdr:spPr bwMode="auto">
        <a:xfrm>
          <a:off x="4295775" y="451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304800</xdr:colOff>
      <xdr:row>12</xdr:row>
      <xdr:rowOff>116681</xdr:rowOff>
    </xdr:to>
    <xdr:sp macro="" textlink="">
      <xdr:nvSpPr>
        <xdr:cNvPr id="9" name="AutoShape 5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A4802EAD-2D96-4756-B805-9045CA44413B}"/>
            </a:ext>
          </a:extLst>
        </xdr:cNvPr>
        <xdr:cNvSpPr>
          <a:spLocks noChangeAspect="1" noChangeArrowheads="1"/>
        </xdr:cNvSpPr>
      </xdr:nvSpPr>
      <xdr:spPr bwMode="auto">
        <a:xfrm>
          <a:off x="0" y="7096125"/>
          <a:ext cx="304800" cy="3071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304800</xdr:colOff>
      <xdr:row>12</xdr:row>
      <xdr:rowOff>116681</xdr:rowOff>
    </xdr:to>
    <xdr:sp macro="" textlink="">
      <xdr:nvSpPr>
        <xdr:cNvPr id="10" name="AutoShape 6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144352B9-ED76-4CFD-84EE-A56FE9B34866}"/>
            </a:ext>
          </a:extLst>
        </xdr:cNvPr>
        <xdr:cNvSpPr>
          <a:spLocks noChangeAspect="1" noChangeArrowheads="1"/>
        </xdr:cNvSpPr>
      </xdr:nvSpPr>
      <xdr:spPr bwMode="auto">
        <a:xfrm>
          <a:off x="0" y="7096125"/>
          <a:ext cx="304800" cy="3071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2</xdr:col>
      <xdr:colOff>0</xdr:colOff>
      <xdr:row>5</xdr:row>
      <xdr:rowOff>0</xdr:rowOff>
    </xdr:from>
    <xdr:ext cx="304800" cy="2209800"/>
    <xdr:sp macro="" textlink="">
      <xdr:nvSpPr>
        <xdr:cNvPr id="42" name="AutoShape 2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1C1D050D-0D39-4812-AD49-83A557B290CC}"/>
            </a:ext>
          </a:extLst>
        </xdr:cNvPr>
        <xdr:cNvSpPr>
          <a:spLocks noChangeAspect="1" noChangeArrowheads="1"/>
        </xdr:cNvSpPr>
      </xdr:nvSpPr>
      <xdr:spPr bwMode="auto">
        <a:xfrm>
          <a:off x="3429000" y="1333500"/>
          <a:ext cx="3048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5</xdr:row>
      <xdr:rowOff>0</xdr:rowOff>
    </xdr:from>
    <xdr:ext cx="304800" cy="2209800"/>
    <xdr:sp macro="" textlink="">
      <xdr:nvSpPr>
        <xdr:cNvPr id="43" name="AutoShape 3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4F5157EB-FF8F-437C-9F49-44D4E84FCB9F}"/>
            </a:ext>
          </a:extLst>
        </xdr:cNvPr>
        <xdr:cNvSpPr>
          <a:spLocks noChangeAspect="1" noChangeArrowheads="1"/>
        </xdr:cNvSpPr>
      </xdr:nvSpPr>
      <xdr:spPr bwMode="auto">
        <a:xfrm>
          <a:off x="3429000" y="1333500"/>
          <a:ext cx="3048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</xdr:row>
      <xdr:rowOff>0</xdr:rowOff>
    </xdr:from>
    <xdr:to>
      <xdr:col>3</xdr:col>
      <xdr:colOff>304800</xdr:colOff>
      <xdr:row>104</xdr:row>
      <xdr:rowOff>19050</xdr:rowOff>
    </xdr:to>
    <xdr:sp macro="" textlink="">
      <xdr:nvSpPr>
        <xdr:cNvPr id="2" name="AutoShape 2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C5AB4CD8-39E8-4EEC-A245-1D19EAC886F7}"/>
            </a:ext>
          </a:extLst>
        </xdr:cNvPr>
        <xdr:cNvSpPr>
          <a:spLocks noChangeAspect="1" noChangeArrowheads="1"/>
        </xdr:cNvSpPr>
      </xdr:nvSpPr>
      <xdr:spPr bwMode="auto">
        <a:xfrm>
          <a:off x="6543675" y="952500"/>
          <a:ext cx="3048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304800</xdr:colOff>
      <xdr:row>104</xdr:row>
      <xdr:rowOff>19050</xdr:rowOff>
    </xdr:to>
    <xdr:sp macro="" textlink="">
      <xdr:nvSpPr>
        <xdr:cNvPr id="3" name="AutoShape 3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A170E9BC-EFB8-4429-B2D4-6344E3100613}"/>
            </a:ext>
          </a:extLst>
        </xdr:cNvPr>
        <xdr:cNvSpPr>
          <a:spLocks noChangeAspect="1" noChangeArrowheads="1"/>
        </xdr:cNvSpPr>
      </xdr:nvSpPr>
      <xdr:spPr bwMode="auto">
        <a:xfrm>
          <a:off x="6543675" y="952500"/>
          <a:ext cx="3048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304800</xdr:colOff>
      <xdr:row>71</xdr:row>
      <xdr:rowOff>21431</xdr:rowOff>
    </xdr:to>
    <xdr:sp macro="" textlink="">
      <xdr:nvSpPr>
        <xdr:cNvPr id="4" name="AutoShape 5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845FCCC9-03B6-42CF-A708-14AB05046250}"/>
            </a:ext>
          </a:extLst>
        </xdr:cNvPr>
        <xdr:cNvSpPr>
          <a:spLocks noChangeAspect="1" noChangeArrowheads="1"/>
        </xdr:cNvSpPr>
      </xdr:nvSpPr>
      <xdr:spPr bwMode="auto">
        <a:xfrm>
          <a:off x="0" y="1333500"/>
          <a:ext cx="304800" cy="14501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304800</xdr:colOff>
      <xdr:row>71</xdr:row>
      <xdr:rowOff>21431</xdr:rowOff>
    </xdr:to>
    <xdr:sp macro="" textlink="">
      <xdr:nvSpPr>
        <xdr:cNvPr id="5" name="AutoShape 6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BC146A50-3E1E-4483-8BB0-F01A48D22317}"/>
            </a:ext>
          </a:extLst>
        </xdr:cNvPr>
        <xdr:cNvSpPr>
          <a:spLocks noChangeAspect="1" noChangeArrowheads="1"/>
        </xdr:cNvSpPr>
      </xdr:nvSpPr>
      <xdr:spPr bwMode="auto">
        <a:xfrm>
          <a:off x="0" y="1333500"/>
          <a:ext cx="304800" cy="14501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2</xdr:col>
      <xdr:colOff>0</xdr:colOff>
      <xdr:row>5</xdr:row>
      <xdr:rowOff>0</xdr:rowOff>
    </xdr:from>
    <xdr:ext cx="304800" cy="2209800"/>
    <xdr:sp macro="" textlink="">
      <xdr:nvSpPr>
        <xdr:cNvPr id="6" name="AutoShape 2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03E47009-0367-4E99-8572-9E926C84A21E}"/>
            </a:ext>
          </a:extLst>
        </xdr:cNvPr>
        <xdr:cNvSpPr>
          <a:spLocks noChangeAspect="1" noChangeArrowheads="1"/>
        </xdr:cNvSpPr>
      </xdr:nvSpPr>
      <xdr:spPr bwMode="auto">
        <a:xfrm>
          <a:off x="5762625" y="952500"/>
          <a:ext cx="3048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5</xdr:row>
      <xdr:rowOff>0</xdr:rowOff>
    </xdr:from>
    <xdr:ext cx="304800" cy="2209800"/>
    <xdr:sp macro="" textlink="">
      <xdr:nvSpPr>
        <xdr:cNvPr id="7" name="AutoShape 3" descr="https://http2.mlstatic.com/pendente-c-cristal-ref930-50c-psala-estar-e-jantar-D_NQ_NP_22067-MLB20223641589_012015-F.webp">
          <a:extLst>
            <a:ext uri="{FF2B5EF4-FFF2-40B4-BE49-F238E27FC236}">
              <a16:creationId xmlns:a16="http://schemas.microsoft.com/office/drawing/2014/main" id="{D58058CF-525B-492D-8FE2-B8BE073017AF}"/>
            </a:ext>
          </a:extLst>
        </xdr:cNvPr>
        <xdr:cNvSpPr>
          <a:spLocks noChangeAspect="1" noChangeArrowheads="1"/>
        </xdr:cNvSpPr>
      </xdr:nvSpPr>
      <xdr:spPr bwMode="auto">
        <a:xfrm>
          <a:off x="5762625" y="952500"/>
          <a:ext cx="3048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0149069-E3E5-4481-BDC7-66C7DCC8A3F4}" name="Tabela1" displayName="Tabela1" ref="A1:E37" totalsRowShown="0" headerRowDxfId="31" dataDxfId="29" headerRowBorderDxfId="30" tableBorderDxfId="28" totalsRowBorderDxfId="27">
  <autoFilter ref="A1:E37" xr:uid="{917F7D90-5445-4ADD-9077-2BC9C4D6182D}"/>
  <tableColumns count="5">
    <tableColumn id="1" xr3:uid="{A26F0628-9B45-4114-A488-213A6F55C69F}" name="Foto do Material" dataDxfId="26"/>
    <tableColumn id="2" xr3:uid="{2D4C5910-6AEE-4CF3-ACD9-C4C05FA030F8}" name="Descrição" dataDxfId="25"/>
    <tableColumn id="3" xr3:uid="{90123A42-F007-443C-8CAB-6A0B48D602D9}" name="Valor Unitário" dataDxfId="24"/>
    <tableColumn id="4" xr3:uid="{7C26E2BF-70AE-4A72-A376-F996E6AF65FC}" name="Quantidade" dataDxfId="23"/>
    <tableColumn id="5" xr3:uid="{9E5892EC-3C9A-4EE9-9BFF-CD3E73D9B145}" name="Valor Final" dataDxfId="22">
      <calculatedColumnFormula>C2*D2</calculatedColumnFormula>
    </tableColumn>
  </tableColumns>
  <tableStyleInfo name="TableStyleDark11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www.google.com/aclk?sa=l&amp;ai=DChcSEwihq92NsJfjAhVEBZEKHWx_CrMYABANGgJjZQ&amp;sig=AOD64_2BwZ8js-qo4fYKQ_qhqYOw31SUSg&amp;ctype=5&amp;q=&amp;ved=0ahUKEwi0-diNsJfjAhUVILkGHcQ1DY8QpysIRA&amp;adurl=" TargetMode="External"/><Relationship Id="rId4" Type="http://schemas.openxmlformats.org/officeDocument/2006/relationships/table" Target="../tables/table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U73"/>
  <sheetViews>
    <sheetView showGridLines="0" zoomScale="80" zoomScaleNormal="80" workbookViewId="0">
      <pane xSplit="1" topLeftCell="B1" activePane="topRight" state="frozen"/>
      <selection pane="topRight" sqref="A1:Q43"/>
    </sheetView>
  </sheetViews>
  <sheetFormatPr defaultRowHeight="21.75" customHeight="1" x14ac:dyDescent="0.25"/>
  <cols>
    <col min="1" max="1" width="11.85546875" style="3" customWidth="1"/>
    <col min="2" max="2" width="7.85546875" customWidth="1"/>
    <col min="3" max="3" width="7.140625" style="8" customWidth="1"/>
    <col min="4" max="4" width="7.140625" style="9" bestFit="1" customWidth="1"/>
    <col min="5" max="5" width="6.7109375" style="9" customWidth="1"/>
    <col min="6" max="6" width="9" style="9" customWidth="1"/>
    <col min="7" max="7" width="11" style="9" customWidth="1"/>
    <col min="8" max="8" width="10.7109375" style="9" customWidth="1"/>
    <col min="9" max="9" width="15" style="9" customWidth="1"/>
    <col min="10" max="10" width="10.140625" style="9" customWidth="1"/>
    <col min="11" max="11" width="12.7109375" customWidth="1"/>
    <col min="12" max="12" width="14.140625" style="8" customWidth="1"/>
    <col min="13" max="13" width="6.85546875" style="8" customWidth="1"/>
    <col min="14" max="14" width="9.7109375" style="8" hidden="1" customWidth="1"/>
    <col min="15" max="15" width="35.5703125" style="8" customWidth="1"/>
    <col min="16" max="16" width="12.5703125" style="8" customWidth="1"/>
    <col min="17" max="17" width="11" style="8" customWidth="1"/>
    <col min="18" max="18" width="10" style="8" customWidth="1"/>
    <col min="19" max="19" width="42" style="8" customWidth="1"/>
    <col min="20" max="20" width="14.7109375" style="8" customWidth="1"/>
    <col min="21" max="21" width="14.28515625" style="8" customWidth="1"/>
    <col min="22" max="22" width="10.5703125" style="8" customWidth="1"/>
    <col min="23" max="23" width="11.28515625" style="8" customWidth="1"/>
    <col min="24" max="24" width="12.5703125" style="8" customWidth="1"/>
    <col min="25" max="25" width="11.42578125" style="8" customWidth="1"/>
    <col min="26" max="26" width="12.5703125" style="8" customWidth="1"/>
    <col min="27" max="73" width="9.140625" style="10"/>
  </cols>
  <sheetData>
    <row r="1" spans="1:73" s="171" customFormat="1" ht="45" x14ac:dyDescent="0.25">
      <c r="A1" s="25" t="s">
        <v>0</v>
      </c>
      <c r="B1" s="165" t="s">
        <v>1</v>
      </c>
      <c r="C1" s="166" t="s">
        <v>2</v>
      </c>
      <c r="D1" s="167" t="s">
        <v>3</v>
      </c>
      <c r="E1" s="167" t="s">
        <v>4</v>
      </c>
      <c r="F1" s="167" t="s">
        <v>5</v>
      </c>
      <c r="G1" s="167" t="s">
        <v>6</v>
      </c>
      <c r="H1" s="167" t="s">
        <v>7</v>
      </c>
      <c r="I1" s="167" t="s">
        <v>8</v>
      </c>
      <c r="J1" s="167" t="s">
        <v>9</v>
      </c>
      <c r="K1" s="168" t="s">
        <v>68</v>
      </c>
      <c r="L1" s="166" t="s">
        <v>10</v>
      </c>
      <c r="M1" s="166" t="s">
        <v>11</v>
      </c>
      <c r="N1" s="166" t="s">
        <v>12</v>
      </c>
      <c r="O1" s="166" t="s">
        <v>13</v>
      </c>
      <c r="P1" s="166" t="s">
        <v>14</v>
      </c>
      <c r="Q1" s="166" t="s">
        <v>15</v>
      </c>
      <c r="R1" s="166" t="s">
        <v>16</v>
      </c>
      <c r="S1" s="166" t="s">
        <v>17</v>
      </c>
      <c r="T1" s="166" t="s">
        <v>64</v>
      </c>
      <c r="U1" s="166" t="s">
        <v>65</v>
      </c>
      <c r="V1" s="166" t="s">
        <v>18</v>
      </c>
      <c r="W1" s="166" t="s">
        <v>19</v>
      </c>
      <c r="X1" s="166" t="s">
        <v>63</v>
      </c>
      <c r="Y1" s="166" t="s">
        <v>67</v>
      </c>
      <c r="Z1" s="166" t="s">
        <v>66</v>
      </c>
      <c r="AA1" s="169"/>
      <c r="AB1" s="169"/>
      <c r="AC1" s="169"/>
      <c r="AD1" s="169"/>
      <c r="AE1" s="170"/>
      <c r="AF1" s="170"/>
      <c r="AG1" s="170"/>
      <c r="AH1" s="170"/>
      <c r="AI1" s="170"/>
      <c r="AJ1" s="170"/>
      <c r="AK1" s="170"/>
      <c r="AL1" s="170"/>
      <c r="AM1" s="170"/>
      <c r="AN1" s="170"/>
      <c r="AO1" s="170"/>
      <c r="AP1" s="170"/>
      <c r="AQ1" s="170"/>
      <c r="AR1" s="170"/>
      <c r="AS1" s="170"/>
      <c r="AT1" s="170"/>
      <c r="AU1" s="170"/>
      <c r="AV1" s="170"/>
      <c r="AW1" s="170"/>
      <c r="AX1" s="170"/>
      <c r="AY1" s="170"/>
      <c r="AZ1" s="170"/>
      <c r="BA1" s="170"/>
      <c r="BB1" s="170"/>
      <c r="BC1" s="170"/>
      <c r="BD1" s="170"/>
      <c r="BE1" s="170"/>
      <c r="BF1" s="170"/>
      <c r="BG1" s="170"/>
      <c r="BH1" s="170"/>
      <c r="BI1" s="170"/>
      <c r="BJ1" s="170"/>
      <c r="BK1" s="170"/>
      <c r="BL1" s="170"/>
      <c r="BM1" s="170"/>
      <c r="BN1" s="170"/>
      <c r="BO1" s="170"/>
      <c r="BP1" s="170"/>
      <c r="BQ1" s="170"/>
      <c r="BR1" s="170"/>
      <c r="BS1" s="170"/>
      <c r="BT1" s="170"/>
      <c r="BU1" s="170"/>
    </row>
    <row r="2" spans="1:73" s="18" customFormat="1" ht="43.5" customHeight="1" x14ac:dyDescent="0.2">
      <c r="A2" s="266" t="s">
        <v>20</v>
      </c>
      <c r="B2" s="269">
        <v>3.78</v>
      </c>
      <c r="C2" s="265">
        <v>3.4</v>
      </c>
      <c r="D2" s="264">
        <f>B2*C2</f>
        <v>12.851999999999999</v>
      </c>
      <c r="E2" s="264">
        <f>(B2+C2)*2</f>
        <v>14.36</v>
      </c>
      <c r="F2" s="264">
        <v>3.08</v>
      </c>
      <c r="G2" s="264">
        <v>0.7</v>
      </c>
      <c r="H2" s="264">
        <f>F2-G2</f>
        <v>2.38</v>
      </c>
      <c r="I2" s="264">
        <f>(B2*C2)/(H2*(B2+C2))</f>
        <v>0.75208913649025055</v>
      </c>
      <c r="J2" s="264">
        <v>0.85</v>
      </c>
      <c r="K2" s="294" t="s">
        <v>69</v>
      </c>
      <c r="L2" s="265">
        <f>IF(D2&lt;=6,100,(((D2-6)/4)*60)+100)</f>
        <v>202.77999999999997</v>
      </c>
      <c r="M2" s="265" t="s">
        <v>21</v>
      </c>
      <c r="N2" s="265">
        <v>200</v>
      </c>
      <c r="O2" s="43" t="s">
        <v>49</v>
      </c>
      <c r="P2" s="40">
        <v>1</v>
      </c>
      <c r="Q2" s="40">
        <f>P2*J2</f>
        <v>0.85</v>
      </c>
      <c r="R2" s="40">
        <v>0.95</v>
      </c>
      <c r="S2" s="43" t="s">
        <v>56</v>
      </c>
      <c r="T2" s="43">
        <v>4</v>
      </c>
      <c r="U2" s="43">
        <f>T2/0.5</f>
        <v>8</v>
      </c>
      <c r="V2" s="40">
        <v>400</v>
      </c>
      <c r="W2" s="40">
        <v>1</v>
      </c>
      <c r="X2" s="40">
        <f>(W2*Q2*R2*V2)/D2</f>
        <v>25.132275132275137</v>
      </c>
      <c r="Y2" s="40" t="s">
        <v>73</v>
      </c>
      <c r="Z2" s="265">
        <f>U2*W2+U3*W3+U4*W4</f>
        <v>134</v>
      </c>
      <c r="AA2" s="7"/>
      <c r="AB2" s="7"/>
      <c r="AC2" s="7"/>
      <c r="AD2" s="7"/>
      <c r="AE2" s="35"/>
      <c r="AF2" s="35"/>
      <c r="AG2" s="35"/>
      <c r="AH2" s="35"/>
      <c r="AI2" s="35"/>
      <c r="AJ2" s="35"/>
      <c r="AK2" s="35"/>
      <c r="AL2" s="35"/>
      <c r="AM2" s="35"/>
      <c r="AN2" s="35"/>
      <c r="AO2" s="35"/>
      <c r="AP2" s="35"/>
      <c r="AQ2" s="35"/>
      <c r="AR2" s="35"/>
      <c r="AS2" s="35"/>
      <c r="AT2" s="35"/>
      <c r="AU2" s="35"/>
      <c r="AV2" s="35"/>
      <c r="AW2" s="35"/>
      <c r="AX2" s="35"/>
      <c r="AY2" s="35"/>
      <c r="AZ2" s="35"/>
      <c r="BA2" s="35"/>
      <c r="BB2" s="35"/>
      <c r="BC2" s="35"/>
      <c r="BD2" s="35"/>
      <c r="BE2" s="35"/>
      <c r="BF2" s="35"/>
      <c r="BG2" s="35"/>
      <c r="BH2" s="35"/>
      <c r="BI2" s="35"/>
      <c r="BJ2" s="35"/>
      <c r="BK2" s="35"/>
      <c r="BL2" s="35"/>
      <c r="BM2" s="35"/>
      <c r="BN2" s="35"/>
      <c r="BO2" s="35"/>
      <c r="BP2" s="35"/>
      <c r="BQ2" s="35"/>
      <c r="BR2" s="35"/>
      <c r="BS2" s="35"/>
      <c r="BT2" s="35"/>
      <c r="BU2" s="35"/>
    </row>
    <row r="3" spans="1:73" s="19" customFormat="1" ht="45" customHeight="1" x14ac:dyDescent="0.25">
      <c r="A3" s="267"/>
      <c r="B3" s="270"/>
      <c r="C3" s="265"/>
      <c r="D3" s="264"/>
      <c r="E3" s="264"/>
      <c r="F3" s="264"/>
      <c r="G3" s="264"/>
      <c r="H3" s="264"/>
      <c r="I3" s="264"/>
      <c r="J3" s="264"/>
      <c r="K3" s="295"/>
      <c r="L3" s="265"/>
      <c r="M3" s="265"/>
      <c r="N3" s="265"/>
      <c r="O3" s="43" t="s">
        <v>60</v>
      </c>
      <c r="P3" s="40">
        <v>1</v>
      </c>
      <c r="Q3" s="40">
        <f>P3*J2</f>
        <v>0.85</v>
      </c>
      <c r="R3" s="40">
        <v>0.95</v>
      </c>
      <c r="S3" s="43" t="s">
        <v>62</v>
      </c>
      <c r="T3" s="43">
        <v>15</v>
      </c>
      <c r="U3" s="43">
        <f t="shared" ref="U3:U43" si="0">T3/0.5</f>
        <v>30</v>
      </c>
      <c r="V3" s="40">
        <v>675</v>
      </c>
      <c r="W3" s="40">
        <v>3</v>
      </c>
      <c r="X3" s="40">
        <f>(W3*Q3*R3*V3)/D2</f>
        <v>127.23214285714288</v>
      </c>
      <c r="Y3" s="265">
        <f>X3+X4</f>
        <v>241.08134920634922</v>
      </c>
      <c r="Z3" s="265"/>
      <c r="AA3" s="7"/>
      <c r="AB3" s="7"/>
      <c r="AC3" s="7"/>
      <c r="AD3" s="7"/>
      <c r="AE3" s="4"/>
      <c r="AF3" s="4"/>
      <c r="AG3" s="4"/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  <c r="AT3" s="4"/>
      <c r="AU3" s="4"/>
      <c r="AV3" s="4"/>
      <c r="AW3" s="4"/>
      <c r="AX3" s="4"/>
      <c r="AY3" s="4"/>
      <c r="AZ3" s="4"/>
      <c r="BA3" s="4"/>
      <c r="BB3" s="4"/>
      <c r="BC3" s="4"/>
      <c r="BD3" s="4"/>
      <c r="BE3" s="4"/>
      <c r="BF3" s="4"/>
      <c r="BG3" s="4"/>
      <c r="BH3" s="4"/>
      <c r="BI3" s="4"/>
      <c r="BJ3" s="4"/>
      <c r="BK3" s="4"/>
      <c r="BL3" s="4"/>
      <c r="BM3" s="4"/>
      <c r="BN3" s="4"/>
      <c r="BO3" s="4"/>
      <c r="BP3" s="4"/>
      <c r="BQ3" s="4"/>
      <c r="BR3" s="4"/>
      <c r="BS3" s="4"/>
      <c r="BT3" s="4"/>
      <c r="BU3" s="4"/>
    </row>
    <row r="4" spans="1:73" s="17" customFormat="1" ht="30" x14ac:dyDescent="0.2">
      <c r="A4" s="268"/>
      <c r="B4" s="271"/>
      <c r="C4" s="265"/>
      <c r="D4" s="264"/>
      <c r="E4" s="264"/>
      <c r="F4" s="264"/>
      <c r="G4" s="264"/>
      <c r="H4" s="264"/>
      <c r="I4" s="264"/>
      <c r="J4" s="264"/>
      <c r="K4" s="295"/>
      <c r="L4" s="265"/>
      <c r="M4" s="265"/>
      <c r="N4" s="265"/>
      <c r="O4" s="43" t="s">
        <v>72</v>
      </c>
      <c r="P4" s="40">
        <v>1</v>
      </c>
      <c r="Q4" s="40">
        <f>P4*J2</f>
        <v>0.85</v>
      </c>
      <c r="R4" s="40">
        <v>0.95</v>
      </c>
      <c r="S4" s="43" t="s">
        <v>55</v>
      </c>
      <c r="T4" s="43">
        <v>3</v>
      </c>
      <c r="U4" s="43">
        <f t="shared" si="0"/>
        <v>6</v>
      </c>
      <c r="V4" s="40">
        <v>302</v>
      </c>
      <c r="W4" s="40">
        <v>6</v>
      </c>
      <c r="X4" s="40">
        <f>(W4*Q4*R4*V4)/D2</f>
        <v>113.84920634920636</v>
      </c>
      <c r="Y4" s="265"/>
      <c r="Z4" s="265"/>
      <c r="AA4" s="7"/>
      <c r="AB4" s="7"/>
      <c r="AC4" s="7"/>
      <c r="AD4" s="7"/>
      <c r="AE4" s="7"/>
      <c r="AF4" s="7"/>
      <c r="AG4" s="7"/>
      <c r="AH4" s="7"/>
      <c r="AI4" s="7"/>
      <c r="AJ4" s="7"/>
      <c r="AK4" s="7"/>
      <c r="AL4" s="7"/>
      <c r="AM4" s="7"/>
      <c r="AN4" s="7"/>
      <c r="AO4" s="7"/>
      <c r="AP4" s="7"/>
      <c r="AQ4" s="7"/>
      <c r="AR4" s="7"/>
      <c r="AS4" s="7"/>
      <c r="AT4" s="7"/>
      <c r="AU4" s="7"/>
      <c r="AV4" s="7"/>
      <c r="AW4" s="7"/>
      <c r="AX4" s="7"/>
      <c r="AY4" s="7"/>
      <c r="AZ4" s="7"/>
      <c r="BA4" s="7"/>
      <c r="BB4" s="7"/>
      <c r="BC4" s="7"/>
      <c r="BD4" s="7"/>
      <c r="BE4" s="7"/>
      <c r="BF4" s="7"/>
      <c r="BG4" s="7"/>
      <c r="BH4" s="7"/>
      <c r="BI4" s="7"/>
      <c r="BJ4" s="7"/>
      <c r="BK4" s="7"/>
      <c r="BL4" s="7"/>
      <c r="BM4" s="7"/>
      <c r="BN4" s="7"/>
      <c r="BO4" s="7"/>
      <c r="BP4" s="7"/>
      <c r="BQ4" s="7"/>
      <c r="BR4" s="7"/>
      <c r="BS4" s="7"/>
      <c r="BT4" s="7"/>
      <c r="BU4" s="7"/>
    </row>
    <row r="5" spans="1:73" s="21" customFormat="1" ht="42" customHeight="1" x14ac:dyDescent="0.2">
      <c r="A5" s="272" t="s">
        <v>23</v>
      </c>
      <c r="B5" s="274">
        <v>2.65</v>
      </c>
      <c r="C5" s="276">
        <v>1.4</v>
      </c>
      <c r="D5" s="277">
        <f>B5*C5</f>
        <v>3.7099999999999995</v>
      </c>
      <c r="E5" s="277">
        <f>(B5+C5)*2</f>
        <v>8.1</v>
      </c>
      <c r="F5" s="277">
        <v>3.08</v>
      </c>
      <c r="G5" s="277">
        <v>0.85</v>
      </c>
      <c r="H5" s="277">
        <f>F5-G5</f>
        <v>2.23</v>
      </c>
      <c r="I5" s="278">
        <f>(B5*C5)/(H5*(B5+C5))</f>
        <v>0.41078447655428219</v>
      </c>
      <c r="J5" s="277">
        <v>0.72</v>
      </c>
      <c r="K5" s="295"/>
      <c r="L5" s="276">
        <f>IF(D5&lt;=6,100,(((D5-6)/4)*60)+100)</f>
        <v>100</v>
      </c>
      <c r="M5" s="276" t="s">
        <v>21</v>
      </c>
      <c r="N5" s="276">
        <v>200</v>
      </c>
      <c r="O5" s="44" t="s">
        <v>60</v>
      </c>
      <c r="P5" s="41">
        <v>1</v>
      </c>
      <c r="Q5" s="41">
        <f t="shared" ref="Q5:Q17" si="1">P5*J5</f>
        <v>0.72</v>
      </c>
      <c r="R5" s="41">
        <v>0.95</v>
      </c>
      <c r="S5" s="44" t="s">
        <v>62</v>
      </c>
      <c r="T5" s="44">
        <v>15</v>
      </c>
      <c r="U5" s="44">
        <f t="shared" si="0"/>
        <v>30</v>
      </c>
      <c r="V5" s="41">
        <v>672</v>
      </c>
      <c r="W5" s="41">
        <v>1</v>
      </c>
      <c r="X5" s="41">
        <f>(W5*Q5*R5*V5)/D5</f>
        <v>123.89433962264151</v>
      </c>
      <c r="Y5" s="41">
        <f>X6</f>
        <v>232.67061994609168</v>
      </c>
      <c r="Z5" s="276">
        <f>W5*U5+W6*U6</f>
        <v>74</v>
      </c>
      <c r="AA5" s="7"/>
      <c r="AB5" s="7"/>
      <c r="AC5" s="7"/>
      <c r="AD5" s="7"/>
      <c r="AE5" s="7"/>
      <c r="AF5" s="7"/>
      <c r="AG5" s="7"/>
      <c r="AH5" s="7"/>
      <c r="AI5" s="7"/>
      <c r="AJ5" s="7"/>
      <c r="AK5" s="7"/>
      <c r="AL5" s="7"/>
      <c r="AM5" s="7"/>
      <c r="AN5" s="7"/>
      <c r="AO5" s="7"/>
      <c r="AP5" s="7"/>
      <c r="AQ5" s="7"/>
      <c r="AR5" s="7"/>
      <c r="AS5" s="7"/>
      <c r="AT5" s="7"/>
      <c r="AU5" s="7"/>
      <c r="AV5" s="7"/>
      <c r="AW5" s="7"/>
      <c r="AX5" s="7"/>
      <c r="AY5" s="7"/>
      <c r="AZ5" s="7"/>
      <c r="BA5" s="7"/>
      <c r="BB5" s="7"/>
      <c r="BC5" s="7"/>
      <c r="BD5" s="7"/>
      <c r="BE5" s="7"/>
      <c r="BF5" s="7"/>
      <c r="BG5" s="7"/>
      <c r="BH5" s="7"/>
      <c r="BI5" s="7"/>
      <c r="BJ5" s="7"/>
      <c r="BK5" s="7"/>
      <c r="BL5" s="7"/>
      <c r="BM5" s="7"/>
      <c r="BN5" s="7"/>
      <c r="BO5" s="7"/>
      <c r="BP5" s="7"/>
      <c r="BQ5" s="7"/>
      <c r="BR5" s="7"/>
      <c r="BS5" s="7"/>
      <c r="BT5" s="7"/>
      <c r="BU5" s="7"/>
    </row>
    <row r="6" spans="1:73" s="24" customFormat="1" ht="38.25" customHeight="1" x14ac:dyDescent="0.2">
      <c r="A6" s="273"/>
      <c r="B6" s="275"/>
      <c r="C6" s="276"/>
      <c r="D6" s="277"/>
      <c r="E6" s="277"/>
      <c r="F6" s="277"/>
      <c r="G6" s="277"/>
      <c r="H6" s="277"/>
      <c r="I6" s="278"/>
      <c r="J6" s="277"/>
      <c r="K6" s="295"/>
      <c r="L6" s="276"/>
      <c r="M6" s="276"/>
      <c r="N6" s="276"/>
      <c r="O6" s="44" t="s">
        <v>70</v>
      </c>
      <c r="P6" s="41">
        <v>1</v>
      </c>
      <c r="Q6" s="41">
        <f>P6*J5</f>
        <v>0.72</v>
      </c>
      <c r="R6" s="41">
        <v>0.95</v>
      </c>
      <c r="S6" s="44" t="s">
        <v>62</v>
      </c>
      <c r="T6" s="41">
        <v>11</v>
      </c>
      <c r="U6" s="44">
        <f t="shared" si="0"/>
        <v>22</v>
      </c>
      <c r="V6" s="41">
        <v>631</v>
      </c>
      <c r="W6" s="41">
        <v>2</v>
      </c>
      <c r="X6" s="41">
        <f>(W6*Q6*R6*V6)/D5</f>
        <v>232.67061994609168</v>
      </c>
      <c r="Y6" s="41" t="s">
        <v>73</v>
      </c>
      <c r="Z6" s="276"/>
      <c r="AA6" s="36"/>
      <c r="AB6" s="36"/>
      <c r="AC6" s="36"/>
      <c r="AD6" s="36"/>
      <c r="AE6" s="7"/>
      <c r="AF6" s="7"/>
      <c r="AG6" s="7"/>
      <c r="AH6" s="7"/>
      <c r="AI6" s="7"/>
      <c r="AJ6" s="7"/>
      <c r="AK6" s="7"/>
      <c r="AL6" s="7"/>
      <c r="AM6" s="7"/>
      <c r="AN6" s="7"/>
      <c r="AO6" s="7"/>
      <c r="AP6" s="7"/>
      <c r="AQ6" s="7"/>
      <c r="AR6" s="7"/>
      <c r="AS6" s="7"/>
      <c r="AT6" s="7"/>
      <c r="AU6" s="7"/>
      <c r="AV6" s="7"/>
      <c r="AW6" s="7"/>
      <c r="AX6" s="7"/>
      <c r="AY6" s="7"/>
      <c r="AZ6" s="7"/>
      <c r="BA6" s="7"/>
      <c r="BB6" s="7"/>
      <c r="BC6" s="7"/>
      <c r="BD6" s="7"/>
      <c r="BE6" s="7"/>
      <c r="BF6" s="7"/>
      <c r="BG6" s="7"/>
      <c r="BH6" s="7"/>
      <c r="BI6" s="7"/>
      <c r="BJ6" s="7"/>
      <c r="BK6" s="7"/>
      <c r="BL6" s="7"/>
      <c r="BM6" s="7"/>
      <c r="BN6" s="7"/>
      <c r="BO6" s="7"/>
      <c r="BP6" s="7"/>
      <c r="BQ6" s="7"/>
      <c r="BR6" s="7"/>
      <c r="BS6" s="7"/>
      <c r="BT6" s="7"/>
      <c r="BU6" s="7"/>
    </row>
    <row r="7" spans="1:73" s="17" customFormat="1" ht="42" customHeight="1" x14ac:dyDescent="0.2">
      <c r="A7" s="26" t="s">
        <v>24</v>
      </c>
      <c r="B7" s="20">
        <v>1.6</v>
      </c>
      <c r="C7" s="40">
        <v>1.4</v>
      </c>
      <c r="D7" s="38">
        <f t="shared" ref="D7:D40" si="2">B7*C7</f>
        <v>2.2399999999999998</v>
      </c>
      <c r="E7" s="38">
        <f t="shared" ref="E7:E40" si="3">(B7+C7)*2</f>
        <v>6</v>
      </c>
      <c r="F7" s="38">
        <v>3.08</v>
      </c>
      <c r="G7" s="38">
        <v>0.85</v>
      </c>
      <c r="H7" s="38">
        <f t="shared" ref="H7:H39" si="4">F7-G7</f>
        <v>2.23</v>
      </c>
      <c r="I7" s="38">
        <f t="shared" ref="I7:I39" si="5">(B7*C7)/(H7*(B7+C7))</f>
        <v>0.33482810164424515</v>
      </c>
      <c r="J7" s="38">
        <v>0.72</v>
      </c>
      <c r="K7" s="295"/>
      <c r="L7" s="40">
        <f t="shared" ref="L7:L40" si="6">IF(D7&lt;=6,100,(((D7-6)/4)*60)+100)</f>
        <v>100</v>
      </c>
      <c r="M7" s="40" t="s">
        <v>21</v>
      </c>
      <c r="N7" s="40">
        <v>200</v>
      </c>
      <c r="O7" s="43" t="s">
        <v>70</v>
      </c>
      <c r="P7" s="40">
        <v>1</v>
      </c>
      <c r="Q7" s="40">
        <f t="shared" si="1"/>
        <v>0.72</v>
      </c>
      <c r="R7" s="40">
        <v>0.95</v>
      </c>
      <c r="S7" s="43" t="s">
        <v>62</v>
      </c>
      <c r="T7" s="40">
        <v>11</v>
      </c>
      <c r="U7" s="43">
        <f t="shared" si="0"/>
        <v>22</v>
      </c>
      <c r="V7" s="40">
        <v>631</v>
      </c>
      <c r="W7" s="40">
        <v>1</v>
      </c>
      <c r="X7" s="40">
        <f>(W7*Q7*R7*V7)/D7</f>
        <v>192.68035714285716</v>
      </c>
      <c r="Y7" s="40">
        <f>X7</f>
        <v>192.68035714285716</v>
      </c>
      <c r="Z7" s="40">
        <f>U7*W7</f>
        <v>22</v>
      </c>
      <c r="AA7" s="36"/>
      <c r="AB7" s="36"/>
      <c r="AC7" s="36"/>
      <c r="AD7" s="36"/>
      <c r="AE7" s="7"/>
      <c r="AF7" s="7"/>
      <c r="AG7" s="7"/>
      <c r="AH7" s="7"/>
      <c r="AI7" s="7"/>
      <c r="AJ7" s="7"/>
      <c r="AK7" s="7"/>
      <c r="AL7" s="7"/>
      <c r="AM7" s="7"/>
      <c r="AN7" s="7"/>
      <c r="AO7" s="7"/>
      <c r="AP7" s="7"/>
      <c r="AQ7" s="7"/>
      <c r="AR7" s="7"/>
      <c r="AS7" s="7"/>
      <c r="AT7" s="7"/>
      <c r="AU7" s="7"/>
      <c r="AV7" s="7"/>
      <c r="AW7" s="7"/>
      <c r="AX7" s="7"/>
      <c r="AY7" s="7"/>
      <c r="AZ7" s="7"/>
      <c r="BA7" s="7"/>
      <c r="BB7" s="7"/>
      <c r="BC7" s="7"/>
      <c r="BD7" s="7"/>
      <c r="BE7" s="7"/>
      <c r="BF7" s="7"/>
      <c r="BG7" s="7"/>
      <c r="BH7" s="7"/>
      <c r="BI7" s="7"/>
      <c r="BJ7" s="7"/>
      <c r="BK7" s="7"/>
      <c r="BL7" s="7"/>
      <c r="BM7" s="7"/>
      <c r="BN7" s="7"/>
      <c r="BO7" s="7"/>
      <c r="BP7" s="7"/>
      <c r="BQ7" s="7"/>
      <c r="BR7" s="7"/>
      <c r="BS7" s="7"/>
      <c r="BT7" s="7"/>
      <c r="BU7" s="7"/>
    </row>
    <row r="8" spans="1:73" s="29" customFormat="1" ht="48" customHeight="1" x14ac:dyDescent="0.2">
      <c r="A8" s="281" t="s">
        <v>25</v>
      </c>
      <c r="B8" s="274">
        <v>5.7</v>
      </c>
      <c r="C8" s="276">
        <v>2.6</v>
      </c>
      <c r="D8" s="277">
        <v>10.37</v>
      </c>
      <c r="E8" s="277">
        <f>(B8+C8)*2</f>
        <v>16.600000000000001</v>
      </c>
      <c r="F8" s="277">
        <v>3.08</v>
      </c>
      <c r="G8" s="277">
        <v>0</v>
      </c>
      <c r="H8" s="277">
        <f>F8-G8</f>
        <v>3.08</v>
      </c>
      <c r="I8" s="277">
        <f>(B8*C8)/(H8*(B8+C8))</f>
        <v>0.57972148333594109</v>
      </c>
      <c r="J8" s="277">
        <v>0.72</v>
      </c>
      <c r="K8" s="295"/>
      <c r="L8" s="276">
        <f>IF(D8&lt;=6,100,(((D8-6)/4)*60)+100)</f>
        <v>165.54999999999998</v>
      </c>
      <c r="M8" s="276" t="s">
        <v>21</v>
      </c>
      <c r="N8" s="276">
        <v>150</v>
      </c>
      <c r="O8" s="44" t="s">
        <v>60</v>
      </c>
      <c r="P8" s="41">
        <v>1</v>
      </c>
      <c r="Q8" s="41">
        <f>P8*J8</f>
        <v>0.72</v>
      </c>
      <c r="R8" s="41">
        <v>0.95</v>
      </c>
      <c r="S8" s="44" t="s">
        <v>62</v>
      </c>
      <c r="T8" s="41">
        <v>15</v>
      </c>
      <c r="U8" s="44">
        <f t="shared" si="0"/>
        <v>30</v>
      </c>
      <c r="V8" s="41">
        <v>672</v>
      </c>
      <c r="W8" s="41">
        <v>1</v>
      </c>
      <c r="X8" s="41">
        <f>(W8*Q8*R8*V8)/10.37</f>
        <v>44.324783027965282</v>
      </c>
      <c r="Y8" s="276">
        <f>X9+X8</f>
        <v>150.38765670202508</v>
      </c>
      <c r="Z8" s="276">
        <f>W9*T9+W8*T8</f>
        <v>31</v>
      </c>
      <c r="AA8" s="36"/>
      <c r="AB8" s="36"/>
      <c r="AC8" s="36"/>
      <c r="AD8" s="36"/>
      <c r="AE8" s="36"/>
      <c r="AF8" s="36"/>
      <c r="AG8" s="36"/>
      <c r="AH8" s="36"/>
      <c r="AI8" s="36"/>
      <c r="AJ8" s="36"/>
      <c r="AK8" s="36"/>
      <c r="AL8" s="36"/>
      <c r="AM8" s="36"/>
      <c r="AN8" s="36"/>
      <c r="AO8" s="36"/>
      <c r="AP8" s="36"/>
      <c r="AQ8" s="36"/>
      <c r="AR8" s="36"/>
      <c r="AS8" s="160"/>
      <c r="AT8" s="160"/>
      <c r="AU8" s="160"/>
      <c r="AV8" s="160"/>
      <c r="AW8" s="160"/>
      <c r="AX8" s="160"/>
      <c r="AY8" s="160"/>
      <c r="AZ8" s="160"/>
      <c r="BA8" s="160"/>
      <c r="BB8" s="160"/>
      <c r="BC8" s="160"/>
      <c r="BD8" s="160"/>
      <c r="BE8" s="160"/>
      <c r="BF8" s="160"/>
      <c r="BG8" s="160"/>
      <c r="BH8" s="160"/>
      <c r="BI8" s="160"/>
      <c r="BJ8" s="160"/>
      <c r="BK8" s="160"/>
      <c r="BL8" s="160"/>
      <c r="BM8" s="160"/>
      <c r="BN8" s="160"/>
      <c r="BO8" s="160"/>
      <c r="BP8" s="160"/>
      <c r="BQ8" s="160"/>
      <c r="BR8" s="160"/>
      <c r="BS8" s="160"/>
      <c r="BT8" s="160"/>
      <c r="BU8" s="160"/>
    </row>
    <row r="9" spans="1:73" s="23" customFormat="1" ht="54" customHeight="1" x14ac:dyDescent="0.2">
      <c r="A9" s="282"/>
      <c r="B9" s="275"/>
      <c r="C9" s="276"/>
      <c r="D9" s="277"/>
      <c r="E9" s="277"/>
      <c r="F9" s="277"/>
      <c r="G9" s="277"/>
      <c r="H9" s="277"/>
      <c r="I9" s="277"/>
      <c r="J9" s="277"/>
      <c r="K9" s="295"/>
      <c r="L9" s="276"/>
      <c r="M9" s="276"/>
      <c r="N9" s="276"/>
      <c r="O9" s="44" t="s">
        <v>57</v>
      </c>
      <c r="P9" s="41">
        <v>1</v>
      </c>
      <c r="Q9" s="41">
        <f>P9*J8</f>
        <v>0.72</v>
      </c>
      <c r="R9" s="41">
        <v>0.95</v>
      </c>
      <c r="S9" s="44" t="s">
        <v>62</v>
      </c>
      <c r="T9" s="41">
        <v>16</v>
      </c>
      <c r="U9" s="44">
        <f t="shared" si="0"/>
        <v>32</v>
      </c>
      <c r="V9" s="41">
        <v>1608</v>
      </c>
      <c r="W9" s="41">
        <v>1</v>
      </c>
      <c r="X9" s="41">
        <f>(W9*Q9*R9*V9)/10.37</f>
        <v>106.06287367405979</v>
      </c>
      <c r="Y9" s="276"/>
      <c r="Z9" s="276"/>
      <c r="AA9" s="36"/>
      <c r="AB9" s="36"/>
      <c r="AC9" s="36"/>
      <c r="AD9" s="36"/>
      <c r="AE9" s="36"/>
      <c r="AF9" s="36"/>
      <c r="AG9" s="36"/>
      <c r="AH9" s="36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160"/>
      <c r="AT9" s="160"/>
      <c r="AU9" s="160"/>
      <c r="AV9" s="160"/>
      <c r="AW9" s="160"/>
      <c r="AX9" s="160"/>
      <c r="AY9" s="160"/>
      <c r="AZ9" s="160"/>
      <c r="BA9" s="160"/>
      <c r="BB9" s="160"/>
      <c r="BC9" s="160"/>
      <c r="BD9" s="160"/>
      <c r="BE9" s="160"/>
      <c r="BF9" s="160"/>
      <c r="BG9" s="160"/>
      <c r="BH9" s="160"/>
      <c r="BI9" s="160"/>
      <c r="BJ9" s="160"/>
      <c r="BK9" s="160"/>
      <c r="BL9" s="160"/>
      <c r="BM9" s="160"/>
      <c r="BN9" s="160"/>
      <c r="BO9" s="160"/>
      <c r="BP9" s="160"/>
      <c r="BQ9" s="160"/>
      <c r="BR9" s="160"/>
      <c r="BS9" s="160"/>
      <c r="BT9" s="160"/>
      <c r="BU9" s="160"/>
    </row>
    <row r="10" spans="1:73" s="28" customFormat="1" ht="30" x14ac:dyDescent="0.2">
      <c r="A10" s="279" t="s">
        <v>26</v>
      </c>
      <c r="B10" s="270">
        <v>2.2999999999999998</v>
      </c>
      <c r="C10" s="265">
        <v>2.4500000000000002</v>
      </c>
      <c r="D10" s="264">
        <f>B10*C10</f>
        <v>5.6349999999999998</v>
      </c>
      <c r="E10" s="264">
        <f>(B10+C10)*2</f>
        <v>9.5</v>
      </c>
      <c r="F10" s="264">
        <v>3.08</v>
      </c>
      <c r="G10" s="264">
        <v>0.84</v>
      </c>
      <c r="H10" s="264">
        <f>F10-G10</f>
        <v>2.2400000000000002</v>
      </c>
      <c r="I10" s="264">
        <f>(B10*C10)/(H10*(B10+C10))</f>
        <v>0.52960526315789469</v>
      </c>
      <c r="J10" s="264">
        <v>0.72</v>
      </c>
      <c r="K10" s="295"/>
      <c r="L10" s="265">
        <f>IF(D10&lt;=6,100,(((D10-6)/4)*60)+100)</f>
        <v>100</v>
      </c>
      <c r="M10" s="265" t="s">
        <v>21</v>
      </c>
      <c r="N10" s="265">
        <v>150</v>
      </c>
      <c r="O10" s="43" t="s">
        <v>70</v>
      </c>
      <c r="P10" s="40">
        <v>1</v>
      </c>
      <c r="Q10" s="40">
        <f t="shared" si="1"/>
        <v>0.72</v>
      </c>
      <c r="R10" s="40">
        <v>0.95</v>
      </c>
      <c r="S10" s="43" t="s">
        <v>62</v>
      </c>
      <c r="T10" s="40">
        <v>11</v>
      </c>
      <c r="U10" s="43">
        <f t="shared" si="0"/>
        <v>22</v>
      </c>
      <c r="V10" s="40">
        <v>631</v>
      </c>
      <c r="W10" s="40">
        <v>1</v>
      </c>
      <c r="X10" s="40">
        <f>(W10*Q10*R10*V10)/D10</f>
        <v>76.593433895297252</v>
      </c>
      <c r="Y10" s="265">
        <f>X11+X10</f>
        <v>158.52777284826976</v>
      </c>
      <c r="Z10" s="265">
        <f>W10*U10+W11*U11</f>
        <v>52</v>
      </c>
      <c r="AA10" s="36"/>
      <c r="AB10" s="36"/>
      <c r="AC10" s="36"/>
      <c r="AD10" s="36"/>
      <c r="AE10" s="36"/>
      <c r="AF10" s="36"/>
      <c r="AG10" s="36"/>
      <c r="AH10" s="36"/>
      <c r="AI10" s="36"/>
      <c r="AJ10" s="36"/>
      <c r="AK10" s="36"/>
      <c r="AL10" s="36"/>
      <c r="AM10" s="36"/>
      <c r="AN10" s="36"/>
      <c r="AO10" s="36"/>
      <c r="AP10" s="36"/>
      <c r="AQ10" s="36"/>
      <c r="AR10" s="36"/>
      <c r="AS10" s="160"/>
      <c r="AT10" s="160"/>
      <c r="AU10" s="160"/>
      <c r="AV10" s="160"/>
      <c r="AW10" s="160"/>
      <c r="AX10" s="160"/>
      <c r="AY10" s="160"/>
      <c r="AZ10" s="160"/>
      <c r="BA10" s="160"/>
      <c r="BB10" s="160"/>
      <c r="BC10" s="160"/>
      <c r="BD10" s="160"/>
      <c r="BE10" s="160"/>
      <c r="BF10" s="160"/>
      <c r="BG10" s="160"/>
      <c r="BH10" s="160"/>
      <c r="BI10" s="160"/>
      <c r="BJ10" s="160"/>
      <c r="BK10" s="160"/>
      <c r="BL10" s="160"/>
      <c r="BM10" s="160"/>
      <c r="BN10" s="160"/>
      <c r="BO10" s="160"/>
      <c r="BP10" s="160"/>
      <c r="BQ10" s="160"/>
      <c r="BR10" s="160"/>
      <c r="BS10" s="160"/>
      <c r="BT10" s="160"/>
      <c r="BU10" s="160"/>
    </row>
    <row r="11" spans="1:73" s="27" customFormat="1" ht="30" x14ac:dyDescent="0.2">
      <c r="A11" s="280"/>
      <c r="B11" s="271"/>
      <c r="C11" s="265"/>
      <c r="D11" s="264"/>
      <c r="E11" s="264"/>
      <c r="F11" s="264"/>
      <c r="G11" s="264"/>
      <c r="H11" s="264"/>
      <c r="I11" s="264"/>
      <c r="J11" s="264"/>
      <c r="K11" s="295"/>
      <c r="L11" s="265"/>
      <c r="M11" s="265"/>
      <c r="N11" s="265"/>
      <c r="O11" s="43" t="s">
        <v>60</v>
      </c>
      <c r="P11" s="40">
        <v>1</v>
      </c>
      <c r="Q11" s="40">
        <f>P11*J10</f>
        <v>0.72</v>
      </c>
      <c r="R11" s="40">
        <v>0.95</v>
      </c>
      <c r="S11" s="43" t="s">
        <v>62</v>
      </c>
      <c r="T11" s="40">
        <v>15</v>
      </c>
      <c r="U11" s="43">
        <f t="shared" si="0"/>
        <v>30</v>
      </c>
      <c r="V11" s="40">
        <v>675</v>
      </c>
      <c r="W11" s="40">
        <v>1</v>
      </c>
      <c r="X11" s="40">
        <f>(W11*Q11*R11*V11)/D10</f>
        <v>81.934338952972496</v>
      </c>
      <c r="Y11" s="265"/>
      <c r="Z11" s="265"/>
      <c r="AA11" s="36"/>
      <c r="AB11" s="36"/>
      <c r="AC11" s="36"/>
      <c r="AD11" s="36"/>
      <c r="AE11" s="36"/>
      <c r="AF11" s="36"/>
      <c r="AG11" s="36"/>
      <c r="AH11" s="36"/>
      <c r="AI11" s="36"/>
      <c r="AJ11" s="36"/>
      <c r="AK11" s="36"/>
      <c r="AL11" s="36"/>
      <c r="AM11" s="36"/>
      <c r="AN11" s="36"/>
      <c r="AO11" s="36"/>
      <c r="AP11" s="36"/>
      <c r="AQ11" s="36"/>
      <c r="AR11" s="36"/>
      <c r="AS11" s="160"/>
      <c r="AT11" s="160"/>
      <c r="AU11" s="160"/>
      <c r="AV11" s="160"/>
      <c r="AW11" s="160"/>
      <c r="AX11" s="160"/>
      <c r="AY11" s="160"/>
      <c r="AZ11" s="160"/>
      <c r="BA11" s="160"/>
      <c r="BB11" s="160"/>
      <c r="BC11" s="160"/>
      <c r="BD11" s="160"/>
      <c r="BE11" s="160"/>
      <c r="BF11" s="160"/>
      <c r="BG11" s="160"/>
      <c r="BH11" s="160"/>
      <c r="BI11" s="160"/>
      <c r="BJ11" s="160"/>
      <c r="BK11" s="160"/>
      <c r="BL11" s="160"/>
      <c r="BM11" s="160"/>
      <c r="BN11" s="160"/>
      <c r="BO11" s="160"/>
      <c r="BP11" s="160"/>
      <c r="BQ11" s="160"/>
      <c r="BR11" s="160"/>
      <c r="BS11" s="160"/>
      <c r="BT11" s="160"/>
      <c r="BU11" s="160"/>
    </row>
    <row r="12" spans="1:73" s="23" customFormat="1" ht="30" x14ac:dyDescent="0.2">
      <c r="A12" s="30" t="s">
        <v>71</v>
      </c>
      <c r="B12" s="22">
        <v>2.4500000000000002</v>
      </c>
      <c r="C12" s="41">
        <v>1.4</v>
      </c>
      <c r="D12" s="37">
        <f t="shared" si="2"/>
        <v>3.43</v>
      </c>
      <c r="E12" s="37">
        <f t="shared" si="3"/>
        <v>7.7</v>
      </c>
      <c r="F12" s="37">
        <v>3.08</v>
      </c>
      <c r="G12" s="37">
        <v>0</v>
      </c>
      <c r="H12" s="37">
        <f t="shared" si="4"/>
        <v>3.08</v>
      </c>
      <c r="I12" s="37">
        <f t="shared" si="5"/>
        <v>0.28925619834710742</v>
      </c>
      <c r="J12" s="37">
        <v>0.72</v>
      </c>
      <c r="K12" s="295"/>
      <c r="L12" s="41">
        <f>IF(D12&lt;=6,100,(((D12-6)/4)*60)+100)</f>
        <v>100</v>
      </c>
      <c r="M12" s="41" t="s">
        <v>21</v>
      </c>
      <c r="N12" s="41">
        <v>150</v>
      </c>
      <c r="O12" s="44" t="s">
        <v>60</v>
      </c>
      <c r="P12" s="41">
        <v>1</v>
      </c>
      <c r="Q12" s="41">
        <f>P12*J12</f>
        <v>0.72</v>
      </c>
      <c r="R12" s="41">
        <v>0.95</v>
      </c>
      <c r="S12" s="44" t="s">
        <v>62</v>
      </c>
      <c r="T12" s="41">
        <v>15</v>
      </c>
      <c r="U12" s="44">
        <f t="shared" si="0"/>
        <v>30</v>
      </c>
      <c r="V12" s="41">
        <v>675</v>
      </c>
      <c r="W12" s="41">
        <v>1</v>
      </c>
      <c r="X12" s="41">
        <f>(W12*Q12*R12*V12)/D12</f>
        <v>134.60641399416909</v>
      </c>
      <c r="Y12" s="41">
        <f>X12</f>
        <v>134.60641399416909</v>
      </c>
      <c r="Z12" s="41">
        <f>W12*U12</f>
        <v>30</v>
      </c>
      <c r="AA12" s="36"/>
      <c r="AB12" s="36"/>
      <c r="AC12" s="36"/>
      <c r="AD12" s="36"/>
      <c r="AE12" s="36"/>
      <c r="AF12" s="36"/>
      <c r="AG12" s="36"/>
      <c r="AH12" s="36"/>
      <c r="AI12" s="36"/>
      <c r="AJ12" s="36"/>
      <c r="AK12" s="36"/>
      <c r="AL12" s="36"/>
      <c r="AM12" s="36"/>
      <c r="AN12" s="36"/>
      <c r="AO12" s="36"/>
      <c r="AP12" s="36"/>
      <c r="AQ12" s="36"/>
      <c r="AR12" s="36"/>
      <c r="AS12" s="160"/>
      <c r="AT12" s="160"/>
      <c r="AU12" s="160"/>
      <c r="AV12" s="160"/>
      <c r="AW12" s="160"/>
      <c r="AX12" s="160"/>
      <c r="AY12" s="160"/>
      <c r="AZ12" s="160"/>
      <c r="BA12" s="160"/>
      <c r="BB12" s="160"/>
      <c r="BC12" s="160"/>
      <c r="BD12" s="160"/>
      <c r="BE12" s="160"/>
      <c r="BF12" s="160"/>
      <c r="BG12" s="160"/>
      <c r="BH12" s="160"/>
      <c r="BI12" s="160"/>
      <c r="BJ12" s="160"/>
      <c r="BK12" s="160"/>
      <c r="BL12" s="160"/>
      <c r="BM12" s="160"/>
      <c r="BN12" s="160"/>
      <c r="BO12" s="160"/>
      <c r="BP12" s="160"/>
      <c r="BQ12" s="160"/>
      <c r="BR12" s="160"/>
      <c r="BS12" s="160"/>
      <c r="BT12" s="160"/>
      <c r="BU12" s="160"/>
    </row>
    <row r="13" spans="1:73" s="27" customFormat="1" ht="30" x14ac:dyDescent="0.2">
      <c r="A13" s="299" t="s">
        <v>27</v>
      </c>
      <c r="B13" s="289">
        <v>4</v>
      </c>
      <c r="C13" s="265">
        <v>4.2</v>
      </c>
      <c r="D13" s="264">
        <f>B13*C13</f>
        <v>16.8</v>
      </c>
      <c r="E13" s="264">
        <f>(B13+C13)*2</f>
        <v>16.399999999999999</v>
      </c>
      <c r="F13" s="264">
        <v>3.08</v>
      </c>
      <c r="G13" s="264">
        <v>1</v>
      </c>
      <c r="H13" s="264">
        <f>F13-G13</f>
        <v>2.08</v>
      </c>
      <c r="I13" s="264">
        <f>(B13*C13)/(H13*(B13+C13))</f>
        <v>0.98499061913696084</v>
      </c>
      <c r="J13" s="264">
        <v>0.94</v>
      </c>
      <c r="K13" s="295"/>
      <c r="L13" s="265">
        <f>IF(D13&lt;=6,100,(((D13-6)/4)*60)+100)</f>
        <v>262</v>
      </c>
      <c r="M13" s="265" t="s">
        <v>21</v>
      </c>
      <c r="N13" s="265">
        <v>300</v>
      </c>
      <c r="O13" s="43" t="s">
        <v>58</v>
      </c>
      <c r="P13" s="40">
        <v>1</v>
      </c>
      <c r="Q13" s="40">
        <f>P13*J13</f>
        <v>0.94</v>
      </c>
      <c r="R13" s="40">
        <v>0.95</v>
      </c>
      <c r="S13" s="43" t="s">
        <v>59</v>
      </c>
      <c r="T13" s="40">
        <v>2</v>
      </c>
      <c r="U13" s="43">
        <f t="shared" si="0"/>
        <v>4</v>
      </c>
      <c r="V13" s="40">
        <v>200</v>
      </c>
      <c r="W13" s="40">
        <v>3</v>
      </c>
      <c r="X13" s="40">
        <f>(W13*Q13*R13*V13)/D12</f>
        <v>156.20991253644314</v>
      </c>
      <c r="Y13" s="40" t="s">
        <v>73</v>
      </c>
      <c r="Z13" s="265">
        <f>W14*U14+W13*U13</f>
        <v>140</v>
      </c>
      <c r="AA13" s="36"/>
      <c r="AB13" s="36"/>
      <c r="AC13" s="36"/>
      <c r="AD13" s="36"/>
      <c r="AE13" s="36"/>
      <c r="AF13" s="36"/>
      <c r="AG13" s="36"/>
      <c r="AH13" s="36"/>
      <c r="AI13" s="36"/>
      <c r="AJ13" s="36"/>
      <c r="AK13" s="36"/>
      <c r="AL13" s="36"/>
      <c r="AM13" s="36"/>
      <c r="AN13" s="36"/>
      <c r="AO13" s="36"/>
      <c r="AP13" s="36"/>
      <c r="AQ13" s="36"/>
      <c r="AR13" s="36"/>
      <c r="AS13" s="160"/>
      <c r="AT13" s="160"/>
      <c r="AU13" s="160"/>
      <c r="AV13" s="160"/>
      <c r="AW13" s="160"/>
      <c r="AX13" s="160"/>
      <c r="AY13" s="160"/>
      <c r="AZ13" s="160"/>
      <c r="BA13" s="160"/>
      <c r="BB13" s="160"/>
      <c r="BC13" s="160"/>
      <c r="BD13" s="160"/>
      <c r="BE13" s="160"/>
      <c r="BF13" s="160"/>
      <c r="BG13" s="160"/>
      <c r="BH13" s="160"/>
      <c r="BI13" s="160"/>
      <c r="BJ13" s="160"/>
      <c r="BK13" s="160"/>
      <c r="BL13" s="160"/>
      <c r="BM13" s="160"/>
      <c r="BN13" s="160"/>
      <c r="BO13" s="160"/>
      <c r="BP13" s="160"/>
      <c r="BQ13" s="160"/>
      <c r="BR13" s="160"/>
      <c r="BS13" s="160"/>
      <c r="BT13" s="160"/>
      <c r="BU13" s="160"/>
    </row>
    <row r="14" spans="1:73" s="27" customFormat="1" ht="45" x14ac:dyDescent="0.2">
      <c r="A14" s="288"/>
      <c r="B14" s="271"/>
      <c r="C14" s="265"/>
      <c r="D14" s="264"/>
      <c r="E14" s="264"/>
      <c r="F14" s="264"/>
      <c r="G14" s="264"/>
      <c r="H14" s="264"/>
      <c r="I14" s="264"/>
      <c r="J14" s="264"/>
      <c r="K14" s="295"/>
      <c r="L14" s="265"/>
      <c r="M14" s="265"/>
      <c r="N14" s="265"/>
      <c r="O14" s="43" t="s">
        <v>57</v>
      </c>
      <c r="P14" s="40">
        <v>1</v>
      </c>
      <c r="Q14" s="40">
        <f>P14*J13</f>
        <v>0.94</v>
      </c>
      <c r="R14" s="40">
        <v>0.95</v>
      </c>
      <c r="S14" s="43" t="s">
        <v>62</v>
      </c>
      <c r="T14" s="40">
        <v>16</v>
      </c>
      <c r="U14" s="43">
        <f t="shared" si="0"/>
        <v>32</v>
      </c>
      <c r="V14" s="40">
        <v>1608</v>
      </c>
      <c r="W14" s="40">
        <v>4</v>
      </c>
      <c r="X14" s="40">
        <f>(W14*Q14*R14*V14)/D13</f>
        <v>341.89142857142855</v>
      </c>
      <c r="Y14" s="40">
        <f>X14</f>
        <v>341.89142857142855</v>
      </c>
      <c r="Z14" s="265"/>
      <c r="AA14" s="36"/>
      <c r="AB14" s="36"/>
      <c r="AC14" s="36"/>
      <c r="AD14" s="36"/>
      <c r="AE14" s="36"/>
      <c r="AF14" s="36"/>
      <c r="AG14" s="36"/>
      <c r="AH14" s="36"/>
      <c r="AI14" s="36"/>
      <c r="AJ14" s="36"/>
      <c r="AK14" s="36"/>
      <c r="AL14" s="36"/>
      <c r="AM14" s="36"/>
      <c r="AN14" s="36"/>
      <c r="AO14" s="36"/>
      <c r="AP14" s="36"/>
      <c r="AQ14" s="36"/>
      <c r="AR14" s="36"/>
      <c r="AS14" s="160"/>
      <c r="AT14" s="160"/>
      <c r="AU14" s="160"/>
      <c r="AV14" s="160"/>
      <c r="AW14" s="160"/>
      <c r="AX14" s="160"/>
      <c r="AY14" s="160"/>
      <c r="AZ14" s="160"/>
      <c r="BA14" s="160"/>
      <c r="BB14" s="160"/>
      <c r="BC14" s="160"/>
      <c r="BD14" s="160"/>
      <c r="BE14" s="160"/>
      <c r="BF14" s="160"/>
      <c r="BG14" s="160"/>
      <c r="BH14" s="160"/>
      <c r="BI14" s="160"/>
      <c r="BJ14" s="160"/>
      <c r="BK14" s="160"/>
      <c r="BL14" s="160"/>
      <c r="BM14" s="160"/>
      <c r="BN14" s="160"/>
      <c r="BO14" s="160"/>
      <c r="BP14" s="160"/>
      <c r="BQ14" s="160"/>
      <c r="BR14" s="160"/>
      <c r="BS14" s="160"/>
      <c r="BT14" s="160"/>
      <c r="BU14" s="160"/>
    </row>
    <row r="15" spans="1:73" s="29" customFormat="1" ht="30" x14ac:dyDescent="0.2">
      <c r="A15" s="281" t="s">
        <v>28</v>
      </c>
      <c r="B15" s="283">
        <v>3.75</v>
      </c>
      <c r="C15" s="276">
        <v>4.2</v>
      </c>
      <c r="D15" s="277">
        <f>B15*C15</f>
        <v>15.75</v>
      </c>
      <c r="E15" s="277">
        <f>(B15+C15)*2</f>
        <v>15.9</v>
      </c>
      <c r="F15" s="277">
        <v>3.08</v>
      </c>
      <c r="G15" s="277">
        <v>0.7</v>
      </c>
      <c r="H15" s="277">
        <f>F15-G15</f>
        <v>2.38</v>
      </c>
      <c r="I15" s="277">
        <f>(B15*C15)/(H15*(B15+C15))</f>
        <v>0.83240843507214213</v>
      </c>
      <c r="J15" s="277">
        <v>0.85</v>
      </c>
      <c r="K15" s="295"/>
      <c r="L15" s="276">
        <f>IF(D15&lt;=6,100,(((D15-6)/4)*60)+100)</f>
        <v>246.25</v>
      </c>
      <c r="M15" s="276" t="s">
        <v>21</v>
      </c>
      <c r="N15" s="276">
        <v>200</v>
      </c>
      <c r="O15" s="44" t="s">
        <v>60</v>
      </c>
      <c r="P15" s="41">
        <v>1</v>
      </c>
      <c r="Q15" s="41">
        <f t="shared" si="1"/>
        <v>0.85</v>
      </c>
      <c r="R15" s="41">
        <v>0.95</v>
      </c>
      <c r="S15" s="44" t="s">
        <v>62</v>
      </c>
      <c r="T15" s="41">
        <v>15</v>
      </c>
      <c r="U15" s="44">
        <f t="shared" si="0"/>
        <v>30</v>
      </c>
      <c r="V15" s="41">
        <v>675</v>
      </c>
      <c r="W15" s="41">
        <v>5</v>
      </c>
      <c r="X15" s="41">
        <f>(W15*Q15*R15*V15)/D15</f>
        <v>173.03571428571425</v>
      </c>
      <c r="Y15" s="276">
        <f>X15+X16</f>
        <v>219.48619047619044</v>
      </c>
      <c r="Z15" s="276">
        <f>W15*U15+W16*U16</f>
        <v>168</v>
      </c>
      <c r="AA15" s="36"/>
      <c r="AB15" s="36"/>
      <c r="AC15" s="36"/>
      <c r="AD15" s="36"/>
      <c r="AE15" s="36"/>
      <c r="AF15" s="36"/>
      <c r="AG15" s="36"/>
      <c r="AH15" s="36"/>
      <c r="AI15" s="36"/>
      <c r="AJ15" s="36"/>
      <c r="AK15" s="36"/>
      <c r="AL15" s="36"/>
      <c r="AM15" s="36"/>
      <c r="AN15" s="36"/>
      <c r="AO15" s="36"/>
      <c r="AP15" s="36"/>
      <c r="AQ15" s="36"/>
      <c r="AR15" s="36"/>
      <c r="AS15" s="160"/>
      <c r="AT15" s="160"/>
      <c r="AU15" s="160"/>
      <c r="AV15" s="160"/>
      <c r="AW15" s="160"/>
      <c r="AX15" s="160"/>
      <c r="AY15" s="160"/>
      <c r="AZ15" s="160"/>
      <c r="BA15" s="160"/>
      <c r="BB15" s="160"/>
      <c r="BC15" s="160"/>
      <c r="BD15" s="160"/>
      <c r="BE15" s="160"/>
      <c r="BF15" s="160"/>
      <c r="BG15" s="160"/>
      <c r="BH15" s="160"/>
      <c r="BI15" s="160"/>
      <c r="BJ15" s="160"/>
      <c r="BK15" s="160"/>
      <c r="BL15" s="160"/>
      <c r="BM15" s="160"/>
      <c r="BN15" s="160"/>
      <c r="BO15" s="160"/>
      <c r="BP15" s="160"/>
      <c r="BQ15" s="160"/>
      <c r="BR15" s="160"/>
      <c r="BS15" s="160"/>
      <c r="BT15" s="160"/>
      <c r="BU15" s="160"/>
    </row>
    <row r="16" spans="1:73" s="23" customFormat="1" ht="30" x14ac:dyDescent="0.2">
      <c r="A16" s="282"/>
      <c r="B16" s="275"/>
      <c r="C16" s="276"/>
      <c r="D16" s="277"/>
      <c r="E16" s="277"/>
      <c r="F16" s="277"/>
      <c r="G16" s="277"/>
      <c r="H16" s="277"/>
      <c r="I16" s="277"/>
      <c r="J16" s="277"/>
      <c r="K16" s="295"/>
      <c r="L16" s="276"/>
      <c r="M16" s="276"/>
      <c r="N16" s="276"/>
      <c r="O16" s="44" t="s">
        <v>61</v>
      </c>
      <c r="P16" s="41">
        <v>1</v>
      </c>
      <c r="Q16" s="41">
        <f>P16*J15</f>
        <v>0.85</v>
      </c>
      <c r="R16" s="41">
        <v>0.95</v>
      </c>
      <c r="S16" s="44" t="s">
        <v>55</v>
      </c>
      <c r="T16" s="41">
        <v>3</v>
      </c>
      <c r="U16" s="44">
        <f t="shared" si="0"/>
        <v>6</v>
      </c>
      <c r="V16" s="41">
        <v>302</v>
      </c>
      <c r="W16" s="41">
        <v>3</v>
      </c>
      <c r="X16" s="41">
        <f>(W16*Q16*R16*V16)/D15</f>
        <v>46.450476190476188</v>
      </c>
      <c r="Y16" s="276"/>
      <c r="Z16" s="276"/>
      <c r="AA16" s="36"/>
      <c r="AB16" s="36"/>
      <c r="AC16" s="36"/>
      <c r="AD16" s="36"/>
      <c r="AE16" s="36"/>
      <c r="AF16" s="36"/>
      <c r="AG16" s="36"/>
      <c r="AH16" s="36"/>
      <c r="AI16" s="36"/>
      <c r="AJ16" s="36"/>
      <c r="AK16" s="36"/>
      <c r="AL16" s="36"/>
      <c r="AM16" s="36"/>
      <c r="AN16" s="36"/>
      <c r="AO16" s="36"/>
      <c r="AP16" s="36"/>
      <c r="AQ16" s="36"/>
      <c r="AR16" s="36"/>
      <c r="AS16" s="160"/>
      <c r="AT16" s="160"/>
      <c r="AU16" s="160"/>
      <c r="AV16" s="160"/>
      <c r="AW16" s="160"/>
      <c r="AX16" s="160"/>
      <c r="AY16" s="160"/>
      <c r="AZ16" s="160"/>
      <c r="BA16" s="160"/>
      <c r="BB16" s="160"/>
      <c r="BC16" s="160"/>
      <c r="BD16" s="160"/>
      <c r="BE16" s="160"/>
      <c r="BF16" s="160"/>
      <c r="BG16" s="160"/>
      <c r="BH16" s="160"/>
      <c r="BI16" s="160"/>
      <c r="BJ16" s="160"/>
      <c r="BK16" s="160"/>
      <c r="BL16" s="160"/>
      <c r="BM16" s="160"/>
      <c r="BN16" s="160"/>
      <c r="BO16" s="160"/>
      <c r="BP16" s="160"/>
      <c r="BQ16" s="160"/>
      <c r="BR16" s="160"/>
      <c r="BS16" s="160"/>
      <c r="BT16" s="160"/>
      <c r="BU16" s="160"/>
    </row>
    <row r="17" spans="1:73" s="27" customFormat="1" ht="45" x14ac:dyDescent="0.2">
      <c r="A17" s="26" t="s">
        <v>29</v>
      </c>
      <c r="B17" s="20">
        <v>3.5</v>
      </c>
      <c r="C17" s="40">
        <v>4.2</v>
      </c>
      <c r="D17" s="38">
        <f t="shared" si="2"/>
        <v>14.700000000000001</v>
      </c>
      <c r="E17" s="38">
        <f t="shared" si="3"/>
        <v>15.4</v>
      </c>
      <c r="F17" s="38">
        <v>6.25</v>
      </c>
      <c r="G17" s="38">
        <v>0.75</v>
      </c>
      <c r="H17" s="38">
        <f t="shared" si="4"/>
        <v>5.5</v>
      </c>
      <c r="I17" s="38">
        <f>(3*B17*C17)/(2*H17*(B17+C17))</f>
        <v>0.52066115702479343</v>
      </c>
      <c r="J17" s="38">
        <v>0.72</v>
      </c>
      <c r="K17" s="295"/>
      <c r="L17" s="40">
        <f t="shared" si="6"/>
        <v>230.50000000000003</v>
      </c>
      <c r="M17" s="40" t="s">
        <v>21</v>
      </c>
      <c r="N17" s="40">
        <v>200</v>
      </c>
      <c r="O17" s="43" t="s">
        <v>75</v>
      </c>
      <c r="P17" s="40">
        <v>1</v>
      </c>
      <c r="Q17" s="40">
        <f t="shared" si="1"/>
        <v>0.72</v>
      </c>
      <c r="R17" s="40">
        <v>0.95</v>
      </c>
      <c r="S17" s="43" t="s">
        <v>77</v>
      </c>
      <c r="T17" s="40">
        <v>4</v>
      </c>
      <c r="U17" s="43">
        <f t="shared" si="0"/>
        <v>8</v>
      </c>
      <c r="V17" s="40">
        <v>300</v>
      </c>
      <c r="W17" s="40">
        <v>16</v>
      </c>
      <c r="X17" s="40">
        <f>(W17*Q17*R17*V17)/D17</f>
        <v>223.34693877551018</v>
      </c>
      <c r="Y17" s="40">
        <f>X17</f>
        <v>223.34693877551018</v>
      </c>
      <c r="Z17" s="40">
        <f>W17*U17</f>
        <v>128</v>
      </c>
      <c r="AA17" s="36"/>
      <c r="AB17" s="36"/>
      <c r="AC17" s="36"/>
      <c r="AD17" s="36"/>
      <c r="AE17" s="36"/>
      <c r="AF17" s="36"/>
      <c r="AG17" s="36"/>
      <c r="AH17" s="36"/>
      <c r="AI17" s="36"/>
      <c r="AJ17" s="36"/>
      <c r="AK17" s="36"/>
      <c r="AL17" s="36"/>
      <c r="AM17" s="36"/>
      <c r="AN17" s="36"/>
      <c r="AO17" s="36"/>
      <c r="AP17" s="36"/>
      <c r="AQ17" s="36"/>
      <c r="AR17" s="36"/>
      <c r="AS17" s="160"/>
      <c r="AT17" s="160"/>
      <c r="AU17" s="160"/>
      <c r="AV17" s="160"/>
      <c r="AW17" s="160"/>
      <c r="AX17" s="160"/>
      <c r="AY17" s="160"/>
      <c r="AZ17" s="160"/>
      <c r="BA17" s="160"/>
      <c r="BB17" s="160"/>
      <c r="BC17" s="160"/>
      <c r="BD17" s="160"/>
      <c r="BE17" s="160"/>
      <c r="BF17" s="160"/>
      <c r="BG17" s="160"/>
      <c r="BH17" s="160"/>
      <c r="BI17" s="160"/>
      <c r="BJ17" s="160"/>
      <c r="BK17" s="160"/>
      <c r="BL17" s="160"/>
      <c r="BM17" s="160"/>
      <c r="BN17" s="160"/>
      <c r="BO17" s="160"/>
      <c r="BP17" s="160"/>
      <c r="BQ17" s="160"/>
      <c r="BR17" s="160"/>
      <c r="BS17" s="160"/>
      <c r="BT17" s="160"/>
      <c r="BU17" s="160"/>
    </row>
    <row r="18" spans="1:73" s="23" customFormat="1" ht="30" x14ac:dyDescent="0.2">
      <c r="A18" s="30" t="s">
        <v>30</v>
      </c>
      <c r="B18" s="22">
        <v>3.85</v>
      </c>
      <c r="C18" s="41">
        <v>1.1000000000000001</v>
      </c>
      <c r="D18" s="37">
        <f t="shared" si="2"/>
        <v>4.2350000000000003</v>
      </c>
      <c r="E18" s="37">
        <f t="shared" si="3"/>
        <v>9.9</v>
      </c>
      <c r="F18" s="37">
        <v>3.02</v>
      </c>
      <c r="G18" s="37">
        <v>0</v>
      </c>
      <c r="H18" s="37">
        <f t="shared" si="4"/>
        <v>3.02</v>
      </c>
      <c r="I18" s="37">
        <f t="shared" si="5"/>
        <v>0.28329654157468731</v>
      </c>
      <c r="J18" s="37">
        <v>0.72</v>
      </c>
      <c r="K18" s="295"/>
      <c r="L18" s="41">
        <f t="shared" si="6"/>
        <v>100</v>
      </c>
      <c r="M18" s="41" t="s">
        <v>21</v>
      </c>
      <c r="N18" s="41">
        <v>150</v>
      </c>
      <c r="O18" s="44" t="s">
        <v>60</v>
      </c>
      <c r="P18" s="41">
        <v>1</v>
      </c>
      <c r="Q18" s="41">
        <f>P18*J18</f>
        <v>0.72</v>
      </c>
      <c r="R18" s="41">
        <v>0.95</v>
      </c>
      <c r="S18" s="44" t="s">
        <v>62</v>
      </c>
      <c r="T18" s="41">
        <v>11</v>
      </c>
      <c r="U18" s="44">
        <f t="shared" si="0"/>
        <v>22</v>
      </c>
      <c r="V18" s="41">
        <v>675</v>
      </c>
      <c r="W18" s="41">
        <v>1</v>
      </c>
      <c r="X18" s="41">
        <f>(W18*Q18*R18*V18)/D18</f>
        <v>109.02007083825265</v>
      </c>
      <c r="Y18" s="41">
        <f>X18</f>
        <v>109.02007083825265</v>
      </c>
      <c r="Z18" s="41">
        <f>W18*U18</f>
        <v>22</v>
      </c>
      <c r="AA18" s="36"/>
      <c r="AB18" s="36"/>
      <c r="AC18" s="36"/>
      <c r="AD18" s="36"/>
      <c r="AE18" s="36"/>
      <c r="AF18" s="36"/>
      <c r="AG18" s="36"/>
      <c r="AH18" s="36"/>
      <c r="AI18" s="36"/>
      <c r="AJ18" s="36"/>
      <c r="AK18" s="36"/>
      <c r="AL18" s="36"/>
      <c r="AM18" s="36"/>
      <c r="AN18" s="36"/>
      <c r="AO18" s="36"/>
      <c r="AP18" s="36"/>
      <c r="AQ18" s="36"/>
      <c r="AR18" s="36"/>
      <c r="AS18" s="160"/>
      <c r="AT18" s="160"/>
      <c r="AU18" s="160"/>
      <c r="AV18" s="160"/>
      <c r="AW18" s="160"/>
      <c r="AX18" s="160"/>
      <c r="AY18" s="160"/>
      <c r="AZ18" s="160"/>
      <c r="BA18" s="160"/>
      <c r="BB18" s="160"/>
      <c r="BC18" s="160"/>
      <c r="BD18" s="160"/>
      <c r="BE18" s="160"/>
      <c r="BF18" s="160"/>
      <c r="BG18" s="160"/>
      <c r="BH18" s="160"/>
      <c r="BI18" s="160"/>
      <c r="BJ18" s="160"/>
      <c r="BK18" s="160"/>
      <c r="BL18" s="160"/>
      <c r="BM18" s="160"/>
      <c r="BN18" s="160"/>
      <c r="BO18" s="160"/>
      <c r="BP18" s="160"/>
      <c r="BQ18" s="160"/>
      <c r="BR18" s="160"/>
      <c r="BS18" s="160"/>
      <c r="BT18" s="160"/>
      <c r="BU18" s="160"/>
    </row>
    <row r="19" spans="1:73" s="28" customFormat="1" ht="30" x14ac:dyDescent="0.2">
      <c r="A19" s="279" t="s">
        <v>31</v>
      </c>
      <c r="B19" s="16"/>
      <c r="C19" s="293">
        <v>4.05</v>
      </c>
      <c r="D19" s="293">
        <f>B20*C19</f>
        <v>16.4025</v>
      </c>
      <c r="E19" s="293">
        <f>(B20+C19)*2</f>
        <v>16.2</v>
      </c>
      <c r="F19" s="293">
        <v>3.02</v>
      </c>
      <c r="G19" s="293">
        <v>0.7</v>
      </c>
      <c r="H19" s="293">
        <f>F19-G19</f>
        <v>2.3200000000000003</v>
      </c>
      <c r="I19" s="293">
        <f>(B20*C19)/(H19*(B20+C19))</f>
        <v>0.87284482758620685</v>
      </c>
      <c r="J19" s="264">
        <v>0.94</v>
      </c>
      <c r="K19" s="295"/>
      <c r="L19" s="40"/>
      <c r="M19" s="40" t="s">
        <v>21</v>
      </c>
      <c r="N19" s="40">
        <v>250</v>
      </c>
      <c r="O19" s="43" t="s">
        <v>49</v>
      </c>
      <c r="P19" s="40">
        <v>1</v>
      </c>
      <c r="Q19" s="40">
        <f>P19*J19</f>
        <v>0.94</v>
      </c>
      <c r="R19" s="40">
        <v>0.95</v>
      </c>
      <c r="S19" s="43" t="s">
        <v>56</v>
      </c>
      <c r="T19" s="43">
        <v>4</v>
      </c>
      <c r="U19" s="43">
        <f>T19/0.5</f>
        <v>8</v>
      </c>
      <c r="V19" s="40">
        <v>400</v>
      </c>
      <c r="W19" s="40">
        <v>1</v>
      </c>
      <c r="X19" s="40">
        <f>(W19*Q19*R19*V19)/D19</f>
        <v>21.777168114616675</v>
      </c>
      <c r="Y19" s="40" t="s">
        <v>73</v>
      </c>
      <c r="Z19" s="265">
        <f>W21*U21+W20*U20+W19*U19</f>
        <v>134</v>
      </c>
      <c r="AA19" s="36"/>
      <c r="AB19" s="36"/>
      <c r="AC19" s="36"/>
      <c r="AD19" s="36"/>
      <c r="AE19" s="36"/>
      <c r="AF19" s="36"/>
      <c r="AG19" s="36"/>
      <c r="AH19" s="36"/>
      <c r="AI19" s="36"/>
      <c r="AJ19" s="36"/>
      <c r="AK19" s="36"/>
      <c r="AL19" s="36"/>
      <c r="AM19" s="36"/>
      <c r="AN19" s="36"/>
      <c r="AO19" s="36"/>
      <c r="AP19" s="36"/>
      <c r="AQ19" s="36"/>
      <c r="AR19" s="36"/>
      <c r="AS19" s="160"/>
      <c r="AT19" s="160"/>
      <c r="AU19" s="160"/>
      <c r="AV19" s="160"/>
      <c r="AW19" s="160"/>
      <c r="AX19" s="160"/>
      <c r="AY19" s="160"/>
      <c r="AZ19" s="160"/>
      <c r="BA19" s="160"/>
      <c r="BB19" s="160"/>
      <c r="BC19" s="160"/>
      <c r="BD19" s="160"/>
      <c r="BE19" s="160"/>
      <c r="BF19" s="160"/>
      <c r="BG19" s="160"/>
      <c r="BH19" s="160"/>
      <c r="BI19" s="160"/>
      <c r="BJ19" s="160"/>
      <c r="BK19" s="160"/>
      <c r="BL19" s="160"/>
      <c r="BM19" s="160"/>
      <c r="BN19" s="160"/>
      <c r="BO19" s="160"/>
      <c r="BP19" s="160"/>
      <c r="BQ19" s="160"/>
      <c r="BR19" s="160"/>
      <c r="BS19" s="160"/>
      <c r="BT19" s="160"/>
      <c r="BU19" s="160"/>
    </row>
    <row r="20" spans="1:73" s="28" customFormat="1" ht="30" x14ac:dyDescent="0.2">
      <c r="A20" s="284"/>
      <c r="B20" s="270">
        <v>4.05</v>
      </c>
      <c r="C20" s="297"/>
      <c r="D20" s="297"/>
      <c r="E20" s="297"/>
      <c r="F20" s="297"/>
      <c r="G20" s="297"/>
      <c r="H20" s="297"/>
      <c r="I20" s="297"/>
      <c r="J20" s="264"/>
      <c r="K20" s="295"/>
      <c r="L20" s="265">
        <f>IF(D19&lt;=6,100,(((D19-6)/4)*60)+100)</f>
        <v>256.03750000000002</v>
      </c>
      <c r="M20" s="40" t="s">
        <v>21</v>
      </c>
      <c r="N20" s="265">
        <v>200</v>
      </c>
      <c r="O20" s="43" t="s">
        <v>60</v>
      </c>
      <c r="P20" s="40">
        <v>1</v>
      </c>
      <c r="Q20" s="40">
        <v>0.85</v>
      </c>
      <c r="R20" s="40">
        <v>0.95</v>
      </c>
      <c r="S20" s="43" t="s">
        <v>62</v>
      </c>
      <c r="T20" s="43">
        <v>15</v>
      </c>
      <c r="U20" s="43">
        <f t="shared" si="0"/>
        <v>30</v>
      </c>
      <c r="V20" s="40">
        <v>675</v>
      </c>
      <c r="W20" s="40">
        <v>3</v>
      </c>
      <c r="X20" s="40">
        <f>(W20*Q20*R20*V20)/D19</f>
        <v>99.691358024691354</v>
      </c>
      <c r="Y20" s="265">
        <f>X20+X21</f>
        <v>198.34192958390489</v>
      </c>
      <c r="Z20" s="265"/>
      <c r="AA20" s="36"/>
      <c r="AB20" s="36"/>
      <c r="AC20" s="36"/>
      <c r="AD20" s="36"/>
      <c r="AE20" s="36"/>
      <c r="AF20" s="36"/>
      <c r="AG20" s="36"/>
      <c r="AH20" s="36"/>
      <c r="AI20" s="36"/>
      <c r="AJ20" s="36"/>
      <c r="AK20" s="36"/>
      <c r="AL20" s="36"/>
      <c r="AM20" s="36"/>
      <c r="AN20" s="36"/>
      <c r="AO20" s="36"/>
      <c r="AP20" s="36"/>
      <c r="AQ20" s="36"/>
      <c r="AR20" s="36"/>
      <c r="AS20" s="160"/>
      <c r="AT20" s="160"/>
      <c r="AU20" s="160"/>
      <c r="AV20" s="160"/>
      <c r="AW20" s="160"/>
      <c r="AX20" s="160"/>
      <c r="AY20" s="160"/>
      <c r="AZ20" s="160"/>
      <c r="BA20" s="160"/>
      <c r="BB20" s="160"/>
      <c r="BC20" s="160"/>
      <c r="BD20" s="160"/>
      <c r="BE20" s="160"/>
      <c r="BF20" s="160"/>
      <c r="BG20" s="160"/>
      <c r="BH20" s="160"/>
      <c r="BI20" s="160"/>
      <c r="BJ20" s="160"/>
      <c r="BK20" s="160"/>
      <c r="BL20" s="160"/>
      <c r="BM20" s="160"/>
      <c r="BN20" s="160"/>
      <c r="BO20" s="160"/>
      <c r="BP20" s="160"/>
      <c r="BQ20" s="160"/>
      <c r="BR20" s="160"/>
      <c r="BS20" s="160"/>
      <c r="BT20" s="160"/>
      <c r="BU20" s="160"/>
    </row>
    <row r="21" spans="1:73" s="27" customFormat="1" ht="30" x14ac:dyDescent="0.2">
      <c r="A21" s="280"/>
      <c r="B21" s="271"/>
      <c r="C21" s="298"/>
      <c r="D21" s="298"/>
      <c r="E21" s="298"/>
      <c r="F21" s="298"/>
      <c r="G21" s="298"/>
      <c r="H21" s="298"/>
      <c r="I21" s="298"/>
      <c r="J21" s="264"/>
      <c r="K21" s="295"/>
      <c r="L21" s="265"/>
      <c r="M21" s="40" t="s">
        <v>21</v>
      </c>
      <c r="N21" s="265"/>
      <c r="O21" s="43" t="s">
        <v>72</v>
      </c>
      <c r="P21" s="40">
        <v>1</v>
      </c>
      <c r="Q21" s="40">
        <f>P21*J19</f>
        <v>0.94</v>
      </c>
      <c r="R21" s="40">
        <v>0.95</v>
      </c>
      <c r="S21" s="43" t="s">
        <v>55</v>
      </c>
      <c r="T21" s="43">
        <v>3</v>
      </c>
      <c r="U21" s="43">
        <f t="shared" si="0"/>
        <v>6</v>
      </c>
      <c r="V21" s="40">
        <v>302</v>
      </c>
      <c r="W21" s="40">
        <v>6</v>
      </c>
      <c r="X21" s="40">
        <f>(W21*Q21*R21*V21)/D19</f>
        <v>98.650571559213532</v>
      </c>
      <c r="Y21" s="265"/>
      <c r="Z21" s="265"/>
      <c r="AA21" s="36"/>
      <c r="AB21" s="36"/>
      <c r="AC21" s="36"/>
      <c r="AD21" s="36"/>
      <c r="AE21" s="36"/>
      <c r="AF21" s="36"/>
      <c r="AG21" s="36"/>
      <c r="AH21" s="36"/>
      <c r="AI21" s="36"/>
      <c r="AJ21" s="36"/>
      <c r="AK21" s="36"/>
      <c r="AL21" s="36"/>
      <c r="AM21" s="36"/>
      <c r="AN21" s="36"/>
      <c r="AO21" s="36"/>
      <c r="AP21" s="36"/>
      <c r="AQ21" s="36"/>
      <c r="AR21" s="36"/>
      <c r="AS21" s="160"/>
      <c r="AT21" s="160"/>
      <c r="AU21" s="160"/>
      <c r="AV21" s="160"/>
      <c r="AW21" s="160"/>
      <c r="AX21" s="160"/>
      <c r="AY21" s="160"/>
      <c r="AZ21" s="160"/>
      <c r="BA21" s="160"/>
      <c r="BB21" s="160"/>
      <c r="BC21" s="160"/>
      <c r="BD21" s="160"/>
      <c r="BE21" s="160"/>
      <c r="BF21" s="160"/>
      <c r="BG21" s="160"/>
      <c r="BH21" s="160"/>
      <c r="BI21" s="160"/>
      <c r="BJ21" s="160"/>
      <c r="BK21" s="160"/>
      <c r="BL21" s="160"/>
      <c r="BM21" s="160"/>
      <c r="BN21" s="160"/>
      <c r="BO21" s="160"/>
      <c r="BP21" s="160"/>
      <c r="BQ21" s="160"/>
      <c r="BR21" s="160"/>
      <c r="BS21" s="160"/>
      <c r="BT21" s="160"/>
      <c r="BU21" s="160"/>
    </row>
    <row r="22" spans="1:73" s="29" customFormat="1" ht="30" x14ac:dyDescent="0.2">
      <c r="A22" s="281" t="s">
        <v>32</v>
      </c>
      <c r="B22" s="274">
        <v>3.78</v>
      </c>
      <c r="C22" s="276">
        <v>3.4</v>
      </c>
      <c r="D22" s="277">
        <f t="shared" si="2"/>
        <v>12.851999999999999</v>
      </c>
      <c r="E22" s="277">
        <f t="shared" si="3"/>
        <v>14.36</v>
      </c>
      <c r="F22" s="277">
        <v>3.02</v>
      </c>
      <c r="G22" s="277">
        <v>0.7</v>
      </c>
      <c r="H22" s="277">
        <f t="shared" si="4"/>
        <v>2.3200000000000003</v>
      </c>
      <c r="I22" s="277">
        <f t="shared" si="5"/>
        <v>0.77153971760637763</v>
      </c>
      <c r="J22" s="277">
        <v>0.85</v>
      </c>
      <c r="K22" s="295"/>
      <c r="L22" s="276">
        <f t="shared" si="6"/>
        <v>202.77999999999997</v>
      </c>
      <c r="M22" s="41" t="s">
        <v>21</v>
      </c>
      <c r="N22" s="276">
        <v>200</v>
      </c>
      <c r="O22" s="44" t="s">
        <v>60</v>
      </c>
      <c r="P22" s="41">
        <v>1</v>
      </c>
      <c r="Q22" s="41">
        <v>0.85</v>
      </c>
      <c r="R22" s="41">
        <v>0.95</v>
      </c>
      <c r="S22" s="44" t="s">
        <v>62</v>
      </c>
      <c r="T22" s="44">
        <v>15</v>
      </c>
      <c r="U22" s="44">
        <f t="shared" si="0"/>
        <v>30</v>
      </c>
      <c r="V22" s="41">
        <v>675</v>
      </c>
      <c r="W22" s="41">
        <v>3</v>
      </c>
      <c r="X22" s="41">
        <f>(W22*Q22*R22*V22)/D22</f>
        <v>127.23214285714288</v>
      </c>
      <c r="Y22" s="276">
        <f>X22+X23</f>
        <v>241.08134920634922</v>
      </c>
      <c r="Z22" s="276">
        <f>W22*U22+W23*U23</f>
        <v>126</v>
      </c>
      <c r="AA22" s="36"/>
      <c r="AB22" s="36"/>
      <c r="AC22" s="36"/>
      <c r="AD22" s="36"/>
      <c r="AE22" s="36"/>
      <c r="AF22" s="36"/>
      <c r="AG22" s="36"/>
      <c r="AH22" s="36"/>
      <c r="AI22" s="36"/>
      <c r="AJ22" s="36"/>
      <c r="AK22" s="36"/>
      <c r="AL22" s="36"/>
      <c r="AM22" s="36"/>
      <c r="AN22" s="36"/>
      <c r="AO22" s="36"/>
      <c r="AP22" s="36"/>
      <c r="AQ22" s="36"/>
      <c r="AR22" s="36"/>
      <c r="AS22" s="160"/>
      <c r="AT22" s="160"/>
      <c r="AU22" s="160"/>
      <c r="AV22" s="160"/>
      <c r="AW22" s="160"/>
      <c r="AX22" s="160"/>
      <c r="AY22" s="160"/>
      <c r="AZ22" s="160"/>
      <c r="BA22" s="160"/>
      <c r="BB22" s="160"/>
      <c r="BC22" s="160"/>
      <c r="BD22" s="160"/>
      <c r="BE22" s="160"/>
      <c r="BF22" s="160"/>
      <c r="BG22" s="160"/>
      <c r="BH22" s="160"/>
      <c r="BI22" s="160"/>
      <c r="BJ22" s="160"/>
      <c r="BK22" s="160"/>
      <c r="BL22" s="160"/>
      <c r="BM22" s="160"/>
      <c r="BN22" s="160"/>
      <c r="BO22" s="160"/>
      <c r="BP22" s="160"/>
      <c r="BQ22" s="160"/>
      <c r="BR22" s="160"/>
      <c r="BS22" s="160"/>
      <c r="BT22" s="160"/>
      <c r="BU22" s="160"/>
    </row>
    <row r="23" spans="1:73" s="23" customFormat="1" ht="30" x14ac:dyDescent="0.2">
      <c r="A23" s="282"/>
      <c r="B23" s="275"/>
      <c r="C23" s="276"/>
      <c r="D23" s="277"/>
      <c r="E23" s="277"/>
      <c r="F23" s="277"/>
      <c r="G23" s="277"/>
      <c r="H23" s="277"/>
      <c r="I23" s="277"/>
      <c r="J23" s="277"/>
      <c r="K23" s="295"/>
      <c r="L23" s="276"/>
      <c r="M23" s="41" t="s">
        <v>21</v>
      </c>
      <c r="N23" s="276"/>
      <c r="O23" s="44" t="s">
        <v>72</v>
      </c>
      <c r="P23" s="41">
        <v>1</v>
      </c>
      <c r="Q23" s="41">
        <f>P23*J22</f>
        <v>0.85</v>
      </c>
      <c r="R23" s="41">
        <v>0.95</v>
      </c>
      <c r="S23" s="44" t="s">
        <v>55</v>
      </c>
      <c r="T23" s="44">
        <v>3</v>
      </c>
      <c r="U23" s="44">
        <f>T23/0.5</f>
        <v>6</v>
      </c>
      <c r="V23" s="41">
        <v>302</v>
      </c>
      <c r="W23" s="41">
        <v>6</v>
      </c>
      <c r="X23" s="41">
        <f>(W23*Q23*R23*V23)/D22</f>
        <v>113.84920634920636</v>
      </c>
      <c r="Y23" s="276"/>
      <c r="Z23" s="276"/>
      <c r="AA23" s="36"/>
      <c r="AB23" s="36"/>
      <c r="AC23" s="36"/>
      <c r="AD23" s="36"/>
      <c r="AE23" s="36"/>
      <c r="AF23" s="36"/>
      <c r="AG23" s="36"/>
      <c r="AH23" s="36"/>
      <c r="AI23" s="36"/>
      <c r="AJ23" s="36"/>
      <c r="AK23" s="36"/>
      <c r="AL23" s="36"/>
      <c r="AM23" s="36"/>
      <c r="AN23" s="36"/>
      <c r="AO23" s="36"/>
      <c r="AP23" s="36"/>
      <c r="AQ23" s="36"/>
      <c r="AR23" s="36"/>
      <c r="AS23" s="160"/>
      <c r="AT23" s="160"/>
      <c r="AU23" s="160"/>
      <c r="AV23" s="160"/>
      <c r="AW23" s="160"/>
      <c r="AX23" s="160"/>
      <c r="AY23" s="160"/>
      <c r="AZ23" s="160"/>
      <c r="BA23" s="160"/>
      <c r="BB23" s="160"/>
      <c r="BC23" s="160"/>
      <c r="BD23" s="160"/>
      <c r="BE23" s="160"/>
      <c r="BF23" s="160"/>
      <c r="BG23" s="160"/>
      <c r="BH23" s="160"/>
      <c r="BI23" s="160"/>
      <c r="BJ23" s="160"/>
      <c r="BK23" s="160"/>
      <c r="BL23" s="160"/>
      <c r="BM23" s="160"/>
      <c r="BN23" s="160"/>
      <c r="BO23" s="160"/>
      <c r="BP23" s="160"/>
      <c r="BQ23" s="160"/>
      <c r="BR23" s="160"/>
      <c r="BS23" s="160"/>
      <c r="BT23" s="160"/>
      <c r="BU23" s="160"/>
    </row>
    <row r="24" spans="1:73" s="28" customFormat="1" ht="30" x14ac:dyDescent="0.2">
      <c r="A24" s="279" t="s">
        <v>33</v>
      </c>
      <c r="B24" s="270">
        <v>3.85</v>
      </c>
      <c r="C24" s="265">
        <v>4.33</v>
      </c>
      <c r="D24" s="264">
        <f>B24*C24</f>
        <v>16.670500000000001</v>
      </c>
      <c r="E24" s="264">
        <f>(B24+C24)*2</f>
        <v>16.36</v>
      </c>
      <c r="F24" s="264">
        <v>3.02</v>
      </c>
      <c r="G24" s="264">
        <v>0.7</v>
      </c>
      <c r="H24" s="264">
        <f>F24-G24</f>
        <v>2.3200000000000003</v>
      </c>
      <c r="I24" s="264">
        <f>(B24*C24)/(H24*(B24+C24))</f>
        <v>0.87843036000337227</v>
      </c>
      <c r="J24" s="264">
        <v>0.94</v>
      </c>
      <c r="K24" s="295"/>
      <c r="L24" s="265">
        <f>IF(D24&lt;=6,100,(((D24-6)/4)*60)+100)</f>
        <v>260.0575</v>
      </c>
      <c r="M24" s="40" t="s">
        <v>21</v>
      </c>
      <c r="N24" s="265">
        <v>200</v>
      </c>
      <c r="O24" s="43" t="s">
        <v>49</v>
      </c>
      <c r="P24" s="40">
        <v>1</v>
      </c>
      <c r="Q24" s="40">
        <f>P24*J24</f>
        <v>0.94</v>
      </c>
      <c r="R24" s="40">
        <v>0.95</v>
      </c>
      <c r="S24" s="43" t="s">
        <v>56</v>
      </c>
      <c r="T24" s="43">
        <v>4</v>
      </c>
      <c r="U24" s="43">
        <f>T24/0.5</f>
        <v>8</v>
      </c>
      <c r="V24" s="40">
        <v>400</v>
      </c>
      <c r="W24" s="40">
        <v>1</v>
      </c>
      <c r="X24" s="40">
        <f>(W24*Q24*R24*V24)/D24</f>
        <v>21.427071773492095</v>
      </c>
      <c r="Y24" s="40" t="s">
        <v>73</v>
      </c>
      <c r="Z24" s="265">
        <f>W25*U25+W24*U24</f>
        <v>72</v>
      </c>
      <c r="AA24" s="36"/>
      <c r="AB24" s="36"/>
      <c r="AC24" s="36"/>
      <c r="AD24" s="36"/>
      <c r="AE24" s="36"/>
      <c r="AF24" s="36"/>
      <c r="AG24" s="36"/>
      <c r="AH24" s="36"/>
      <c r="AI24" s="36"/>
      <c r="AJ24" s="36"/>
      <c r="AK24" s="36"/>
      <c r="AL24" s="36"/>
      <c r="AM24" s="36"/>
      <c r="AN24" s="36"/>
      <c r="AO24" s="36"/>
      <c r="AP24" s="36"/>
      <c r="AQ24" s="36"/>
      <c r="AR24" s="36"/>
      <c r="AS24" s="160"/>
      <c r="AT24" s="160"/>
      <c r="AU24" s="160"/>
      <c r="AV24" s="160"/>
      <c r="AW24" s="160"/>
      <c r="AX24" s="160"/>
      <c r="AY24" s="160"/>
      <c r="AZ24" s="160"/>
      <c r="BA24" s="160"/>
      <c r="BB24" s="160"/>
      <c r="BC24" s="160"/>
      <c r="BD24" s="160"/>
      <c r="BE24" s="160"/>
      <c r="BF24" s="160"/>
      <c r="BG24" s="160"/>
      <c r="BH24" s="160"/>
      <c r="BI24" s="160"/>
      <c r="BJ24" s="160"/>
      <c r="BK24" s="160"/>
      <c r="BL24" s="160"/>
      <c r="BM24" s="160"/>
      <c r="BN24" s="160"/>
      <c r="BO24" s="160"/>
      <c r="BP24" s="160"/>
      <c r="BQ24" s="160"/>
      <c r="BR24" s="160"/>
      <c r="BS24" s="160"/>
      <c r="BT24" s="160"/>
      <c r="BU24" s="160"/>
    </row>
    <row r="25" spans="1:73" s="27" customFormat="1" ht="45" x14ac:dyDescent="0.2">
      <c r="A25" s="280"/>
      <c r="B25" s="271"/>
      <c r="C25" s="265"/>
      <c r="D25" s="264"/>
      <c r="E25" s="264"/>
      <c r="F25" s="264"/>
      <c r="G25" s="264"/>
      <c r="H25" s="264"/>
      <c r="I25" s="264"/>
      <c r="J25" s="264"/>
      <c r="K25" s="295"/>
      <c r="L25" s="265"/>
      <c r="M25" s="40" t="s">
        <v>21</v>
      </c>
      <c r="N25" s="265"/>
      <c r="O25" s="43" t="s">
        <v>57</v>
      </c>
      <c r="P25" s="40">
        <v>1</v>
      </c>
      <c r="Q25" s="40">
        <f>P25*J24</f>
        <v>0.94</v>
      </c>
      <c r="R25" s="40">
        <v>0.95</v>
      </c>
      <c r="S25" s="43" t="s">
        <v>62</v>
      </c>
      <c r="T25" s="40">
        <v>16</v>
      </c>
      <c r="U25" s="43">
        <f t="shared" si="0"/>
        <v>32</v>
      </c>
      <c r="V25" s="40">
        <v>1608</v>
      </c>
      <c r="W25" s="40">
        <v>2</v>
      </c>
      <c r="X25" s="40">
        <f>(W25*Q25*R25*V25)/D24</f>
        <v>172.27365705887644</v>
      </c>
      <c r="Y25" s="40">
        <f>X27</f>
        <v>232.67061994609168</v>
      </c>
      <c r="Z25" s="265"/>
      <c r="AA25" s="36"/>
      <c r="AB25" s="36"/>
      <c r="AC25" s="36"/>
      <c r="AD25" s="36"/>
      <c r="AE25" s="36"/>
      <c r="AF25" s="36"/>
      <c r="AG25" s="36"/>
      <c r="AH25" s="36"/>
      <c r="AI25" s="36"/>
      <c r="AJ25" s="36"/>
      <c r="AK25" s="36"/>
      <c r="AL25" s="36"/>
      <c r="AM25" s="36"/>
      <c r="AN25" s="36"/>
      <c r="AO25" s="36"/>
      <c r="AP25" s="36"/>
      <c r="AQ25" s="36"/>
      <c r="AR25" s="36"/>
      <c r="AS25" s="160"/>
      <c r="AT25" s="160"/>
      <c r="AU25" s="160"/>
      <c r="AV25" s="160"/>
      <c r="AW25" s="160"/>
      <c r="AX25" s="160"/>
      <c r="AY25" s="160"/>
      <c r="AZ25" s="160"/>
      <c r="BA25" s="160"/>
      <c r="BB25" s="160"/>
      <c r="BC25" s="160"/>
      <c r="BD25" s="160"/>
      <c r="BE25" s="160"/>
      <c r="BF25" s="160"/>
      <c r="BG25" s="160"/>
      <c r="BH25" s="160"/>
      <c r="BI25" s="160"/>
      <c r="BJ25" s="160"/>
      <c r="BK25" s="160"/>
      <c r="BL25" s="160"/>
      <c r="BM25" s="160"/>
      <c r="BN25" s="160"/>
      <c r="BO25" s="160"/>
      <c r="BP25" s="160"/>
      <c r="BQ25" s="160"/>
      <c r="BR25" s="160"/>
      <c r="BS25" s="160"/>
      <c r="BT25" s="160"/>
      <c r="BU25" s="160"/>
    </row>
    <row r="26" spans="1:73" s="29" customFormat="1" ht="30" x14ac:dyDescent="0.2">
      <c r="A26" s="281" t="s">
        <v>34</v>
      </c>
      <c r="B26" s="274">
        <v>2.65</v>
      </c>
      <c r="C26" s="276">
        <v>1.4</v>
      </c>
      <c r="D26" s="277">
        <f>B26*C26</f>
        <v>3.7099999999999995</v>
      </c>
      <c r="E26" s="277">
        <f>(B26+C26)*2</f>
        <v>8.1</v>
      </c>
      <c r="F26" s="277">
        <v>3.02</v>
      </c>
      <c r="G26" s="277">
        <v>0.85</v>
      </c>
      <c r="H26" s="277">
        <f>F26-G26</f>
        <v>2.17</v>
      </c>
      <c r="I26" s="277">
        <f>(B26*C26)/(H26*(B26+C26))</f>
        <v>0.42214257268020705</v>
      </c>
      <c r="J26" s="277">
        <v>0.72</v>
      </c>
      <c r="K26" s="295"/>
      <c r="L26" s="276">
        <f>IF(D26&lt;=6,100,(((D26-6)/4)*60)+100)</f>
        <v>100</v>
      </c>
      <c r="M26" s="41" t="s">
        <v>21</v>
      </c>
      <c r="N26" s="276">
        <v>200</v>
      </c>
      <c r="O26" s="44" t="s">
        <v>60</v>
      </c>
      <c r="P26" s="41">
        <v>1</v>
      </c>
      <c r="Q26" s="41">
        <f t="shared" ref="Q26" si="7">P26*J26</f>
        <v>0.72</v>
      </c>
      <c r="R26" s="41">
        <v>0.95</v>
      </c>
      <c r="S26" s="44" t="s">
        <v>62</v>
      </c>
      <c r="T26" s="44">
        <v>15</v>
      </c>
      <c r="U26" s="44">
        <f t="shared" si="0"/>
        <v>30</v>
      </c>
      <c r="V26" s="41">
        <v>672</v>
      </c>
      <c r="W26" s="41">
        <v>1</v>
      </c>
      <c r="X26" s="41">
        <f>(W26*Q26*R26*V26)/D26</f>
        <v>123.89433962264151</v>
      </c>
      <c r="Y26" s="41" t="s">
        <v>73</v>
      </c>
      <c r="Z26" s="276">
        <f>W26*U26+W27*U27</f>
        <v>74</v>
      </c>
      <c r="AA26" s="36"/>
      <c r="AB26" s="36"/>
      <c r="AC26" s="36"/>
      <c r="AD26" s="36"/>
      <c r="AE26" s="36"/>
      <c r="AF26" s="36"/>
      <c r="AG26" s="36"/>
      <c r="AH26" s="36"/>
      <c r="AI26" s="36"/>
      <c r="AJ26" s="36"/>
      <c r="AK26" s="36"/>
      <c r="AL26" s="36"/>
      <c r="AM26" s="36"/>
      <c r="AN26" s="36"/>
      <c r="AO26" s="36"/>
      <c r="AP26" s="36"/>
      <c r="AQ26" s="36"/>
      <c r="AR26" s="36"/>
      <c r="AS26" s="160"/>
      <c r="AT26" s="160"/>
      <c r="AU26" s="160"/>
      <c r="AV26" s="160"/>
      <c r="AW26" s="160"/>
      <c r="AX26" s="160"/>
      <c r="AY26" s="160"/>
      <c r="AZ26" s="160"/>
      <c r="BA26" s="160"/>
      <c r="BB26" s="160"/>
      <c r="BC26" s="160"/>
      <c r="BD26" s="160"/>
      <c r="BE26" s="160"/>
      <c r="BF26" s="160"/>
      <c r="BG26" s="160"/>
      <c r="BH26" s="160"/>
      <c r="BI26" s="160"/>
      <c r="BJ26" s="160"/>
      <c r="BK26" s="160"/>
      <c r="BL26" s="160"/>
      <c r="BM26" s="160"/>
      <c r="BN26" s="160"/>
      <c r="BO26" s="160"/>
      <c r="BP26" s="160"/>
      <c r="BQ26" s="160"/>
      <c r="BR26" s="160"/>
      <c r="BS26" s="160"/>
      <c r="BT26" s="160"/>
      <c r="BU26" s="160"/>
    </row>
    <row r="27" spans="1:73" s="23" customFormat="1" ht="21.75" customHeight="1" x14ac:dyDescent="0.2">
      <c r="A27" s="282"/>
      <c r="B27" s="275"/>
      <c r="C27" s="276"/>
      <c r="D27" s="277"/>
      <c r="E27" s="277"/>
      <c r="F27" s="277"/>
      <c r="G27" s="277"/>
      <c r="H27" s="277"/>
      <c r="I27" s="277"/>
      <c r="J27" s="277"/>
      <c r="K27" s="295"/>
      <c r="L27" s="276"/>
      <c r="M27" s="41" t="s">
        <v>21</v>
      </c>
      <c r="N27" s="276"/>
      <c r="O27" s="44" t="s">
        <v>70</v>
      </c>
      <c r="P27" s="41">
        <v>1</v>
      </c>
      <c r="Q27" s="41">
        <f>P27*J26</f>
        <v>0.72</v>
      </c>
      <c r="R27" s="41">
        <v>0.95</v>
      </c>
      <c r="S27" s="44" t="s">
        <v>62</v>
      </c>
      <c r="T27" s="41">
        <v>11</v>
      </c>
      <c r="U27" s="44">
        <f t="shared" si="0"/>
        <v>22</v>
      </c>
      <c r="V27" s="41">
        <v>631</v>
      </c>
      <c r="W27" s="41">
        <v>2</v>
      </c>
      <c r="X27" s="41">
        <f>(W27*Q27*R27*V27)/D26</f>
        <v>232.67061994609168</v>
      </c>
      <c r="Y27" s="41">
        <f>X27</f>
        <v>232.67061994609168</v>
      </c>
      <c r="Z27" s="276"/>
      <c r="AA27" s="36"/>
      <c r="AB27" s="36"/>
      <c r="AC27" s="36"/>
      <c r="AD27" s="36"/>
      <c r="AE27" s="36"/>
      <c r="AF27" s="36"/>
      <c r="AG27" s="36"/>
      <c r="AH27" s="36"/>
      <c r="AI27" s="36"/>
      <c r="AJ27" s="36"/>
      <c r="AK27" s="36"/>
      <c r="AL27" s="36"/>
      <c r="AM27" s="36"/>
      <c r="AN27" s="36"/>
      <c r="AO27" s="36"/>
      <c r="AP27" s="36"/>
      <c r="AQ27" s="36"/>
      <c r="AR27" s="36"/>
      <c r="AS27" s="160"/>
      <c r="AT27" s="160"/>
      <c r="AU27" s="160"/>
      <c r="AV27" s="160"/>
      <c r="AW27" s="160"/>
      <c r="AX27" s="160"/>
      <c r="AY27" s="160"/>
      <c r="AZ27" s="160"/>
      <c r="BA27" s="160"/>
      <c r="BB27" s="160"/>
      <c r="BC27" s="160"/>
      <c r="BD27" s="160"/>
      <c r="BE27" s="160"/>
      <c r="BF27" s="160"/>
      <c r="BG27" s="160"/>
      <c r="BH27" s="160"/>
      <c r="BI27" s="160"/>
      <c r="BJ27" s="160"/>
      <c r="BK27" s="160"/>
      <c r="BL27" s="160"/>
      <c r="BM27" s="160"/>
      <c r="BN27" s="160"/>
      <c r="BO27" s="160"/>
      <c r="BP27" s="160"/>
      <c r="BQ27" s="160"/>
      <c r="BR27" s="160"/>
      <c r="BS27" s="160"/>
      <c r="BT27" s="160"/>
      <c r="BU27" s="160"/>
    </row>
    <row r="28" spans="1:73" s="28" customFormat="1" ht="30" x14ac:dyDescent="0.2">
      <c r="A28" s="279" t="s">
        <v>35</v>
      </c>
      <c r="B28" s="270">
        <v>2.65</v>
      </c>
      <c r="C28" s="265">
        <v>1.4</v>
      </c>
      <c r="D28" s="264">
        <f>B28*C28</f>
        <v>3.7099999999999995</v>
      </c>
      <c r="E28" s="264">
        <f>(B28+C28)*2</f>
        <v>8.1</v>
      </c>
      <c r="F28" s="264">
        <v>3.02</v>
      </c>
      <c r="G28" s="264">
        <v>0.85</v>
      </c>
      <c r="H28" s="264">
        <f>F28-G28</f>
        <v>2.17</v>
      </c>
      <c r="I28" s="264">
        <f>(B28*C28)/(H28*(B28+C28))</f>
        <v>0.42214257268020705</v>
      </c>
      <c r="J28" s="264">
        <v>0.72</v>
      </c>
      <c r="K28" s="295"/>
      <c r="L28" s="265">
        <f>IF(D28&lt;=6,100,(((D28-6)/4)*60)+100)</f>
        <v>100</v>
      </c>
      <c r="M28" s="40" t="s">
        <v>21</v>
      </c>
      <c r="N28" s="265">
        <v>200</v>
      </c>
      <c r="O28" s="43" t="s">
        <v>60</v>
      </c>
      <c r="P28" s="40">
        <v>1</v>
      </c>
      <c r="Q28" s="40">
        <f t="shared" ref="Q28" si="8">P28*J28</f>
        <v>0.72</v>
      </c>
      <c r="R28" s="40">
        <v>0.95</v>
      </c>
      <c r="S28" s="43" t="s">
        <v>62</v>
      </c>
      <c r="T28" s="43">
        <v>15</v>
      </c>
      <c r="U28" s="43">
        <f t="shared" si="0"/>
        <v>30</v>
      </c>
      <c r="V28" s="40">
        <v>672</v>
      </c>
      <c r="W28" s="40">
        <v>1</v>
      </c>
      <c r="X28" s="40">
        <f>(W28*Q28*R28*V28)/D28</f>
        <v>123.89433962264151</v>
      </c>
      <c r="Y28" s="40" t="s">
        <v>73</v>
      </c>
      <c r="Z28" s="265">
        <f>W28*U28+W29*U29</f>
        <v>74</v>
      </c>
      <c r="AA28" s="36"/>
      <c r="AB28" s="36"/>
      <c r="AC28" s="36"/>
      <c r="AD28" s="36"/>
      <c r="AE28" s="36"/>
      <c r="AF28" s="36"/>
      <c r="AG28" s="36"/>
      <c r="AH28" s="36"/>
      <c r="AI28" s="36"/>
      <c r="AJ28" s="36"/>
      <c r="AK28" s="36"/>
      <c r="AL28" s="36"/>
      <c r="AM28" s="36"/>
      <c r="AN28" s="36"/>
      <c r="AO28" s="36"/>
      <c r="AP28" s="36"/>
      <c r="AQ28" s="36"/>
      <c r="AR28" s="36"/>
      <c r="AS28" s="160"/>
      <c r="AT28" s="160"/>
      <c r="AU28" s="160"/>
      <c r="AV28" s="160"/>
      <c r="AW28" s="160"/>
      <c r="AX28" s="160"/>
      <c r="AY28" s="160"/>
      <c r="AZ28" s="160"/>
      <c r="BA28" s="160"/>
      <c r="BB28" s="160"/>
      <c r="BC28" s="160"/>
      <c r="BD28" s="160"/>
      <c r="BE28" s="160"/>
      <c r="BF28" s="160"/>
      <c r="BG28" s="160"/>
      <c r="BH28" s="160"/>
      <c r="BI28" s="160"/>
      <c r="BJ28" s="160"/>
      <c r="BK28" s="160"/>
      <c r="BL28" s="160"/>
      <c r="BM28" s="160"/>
      <c r="BN28" s="160"/>
      <c r="BO28" s="160"/>
      <c r="BP28" s="160"/>
      <c r="BQ28" s="160"/>
      <c r="BR28" s="160"/>
      <c r="BS28" s="160"/>
      <c r="BT28" s="160"/>
      <c r="BU28" s="160"/>
    </row>
    <row r="29" spans="1:73" s="27" customFormat="1" ht="30" x14ac:dyDescent="0.2">
      <c r="A29" s="280"/>
      <c r="B29" s="271"/>
      <c r="C29" s="265"/>
      <c r="D29" s="264"/>
      <c r="E29" s="264"/>
      <c r="F29" s="264"/>
      <c r="G29" s="264"/>
      <c r="H29" s="264"/>
      <c r="I29" s="264"/>
      <c r="J29" s="264"/>
      <c r="K29" s="295"/>
      <c r="L29" s="265"/>
      <c r="M29" s="40" t="s">
        <v>21</v>
      </c>
      <c r="N29" s="265"/>
      <c r="O29" s="43" t="s">
        <v>70</v>
      </c>
      <c r="P29" s="40">
        <v>1</v>
      </c>
      <c r="Q29" s="40">
        <f>P29*J28</f>
        <v>0.72</v>
      </c>
      <c r="R29" s="40">
        <v>0.95</v>
      </c>
      <c r="S29" s="43" t="s">
        <v>62</v>
      </c>
      <c r="T29" s="40">
        <v>11</v>
      </c>
      <c r="U29" s="43">
        <f t="shared" si="0"/>
        <v>22</v>
      </c>
      <c r="V29" s="40">
        <v>631</v>
      </c>
      <c r="W29" s="40">
        <v>2</v>
      </c>
      <c r="X29" s="40">
        <f t="shared" ref="X29" si="9">(W29*Q29*R29*V29)/D28</f>
        <v>232.67061994609168</v>
      </c>
      <c r="Y29" s="40">
        <f>X29</f>
        <v>232.67061994609168</v>
      </c>
      <c r="Z29" s="265"/>
      <c r="AA29" s="36"/>
      <c r="AB29" s="36"/>
      <c r="AC29" s="36"/>
      <c r="AD29" s="36"/>
      <c r="AE29" s="36"/>
      <c r="AF29" s="36"/>
      <c r="AG29" s="36"/>
      <c r="AH29" s="36"/>
      <c r="AI29" s="36"/>
      <c r="AJ29" s="36"/>
      <c r="AK29" s="36"/>
      <c r="AL29" s="36"/>
      <c r="AM29" s="36"/>
      <c r="AN29" s="36"/>
      <c r="AO29" s="36"/>
      <c r="AP29" s="36"/>
      <c r="AQ29" s="36"/>
      <c r="AR29" s="36"/>
      <c r="AS29" s="160"/>
      <c r="AT29" s="160"/>
      <c r="AU29" s="160"/>
      <c r="AV29" s="160"/>
      <c r="AW29" s="160"/>
      <c r="AX29" s="160"/>
      <c r="AY29" s="160"/>
      <c r="AZ29" s="160"/>
      <c r="BA29" s="160"/>
      <c r="BB29" s="160"/>
      <c r="BC29" s="160"/>
      <c r="BD29" s="160"/>
      <c r="BE29" s="160"/>
      <c r="BF29" s="160"/>
      <c r="BG29" s="160"/>
      <c r="BH29" s="160"/>
      <c r="BI29" s="160"/>
      <c r="BJ29" s="160"/>
      <c r="BK29" s="160"/>
      <c r="BL29" s="160"/>
      <c r="BM29" s="160"/>
      <c r="BN29" s="160"/>
      <c r="BO29" s="160"/>
      <c r="BP29" s="160"/>
      <c r="BQ29" s="160"/>
      <c r="BR29" s="160"/>
      <c r="BS29" s="160"/>
      <c r="BT29" s="160"/>
      <c r="BU29" s="160"/>
    </row>
    <row r="30" spans="1:73" s="23" customFormat="1" ht="30" x14ac:dyDescent="0.2">
      <c r="A30" s="285" t="s">
        <v>36</v>
      </c>
      <c r="B30" s="283">
        <v>3.85</v>
      </c>
      <c r="C30" s="276">
        <v>2.3199999999999998</v>
      </c>
      <c r="D30" s="277">
        <f>B30*C30</f>
        <v>8.9320000000000004</v>
      </c>
      <c r="E30" s="277">
        <f>(B30+C30)*2</f>
        <v>12.34</v>
      </c>
      <c r="F30" s="277">
        <v>3.02</v>
      </c>
      <c r="G30" s="277">
        <v>0.85</v>
      </c>
      <c r="H30" s="277">
        <f>F30-G30</f>
        <v>2.17</v>
      </c>
      <c r="I30" s="277">
        <f>(B30*C30)/(H30*(B30+C30))</f>
        <v>0.66711977832383551</v>
      </c>
      <c r="J30" s="277">
        <v>0.72</v>
      </c>
      <c r="K30" s="295"/>
      <c r="L30" s="276">
        <f>IF(D30&lt;=6,100,(((D30-6)/4)*60)+100)</f>
        <v>143.98000000000002</v>
      </c>
      <c r="M30" s="276" t="s">
        <v>21</v>
      </c>
      <c r="N30" s="276">
        <v>200</v>
      </c>
      <c r="O30" s="44" t="s">
        <v>70</v>
      </c>
      <c r="P30" s="41">
        <v>1</v>
      </c>
      <c r="Q30" s="41">
        <f>P30*J30</f>
        <v>0.72</v>
      </c>
      <c r="R30" s="41">
        <v>0.95</v>
      </c>
      <c r="S30" s="44" t="s">
        <v>62</v>
      </c>
      <c r="T30" s="41">
        <v>11</v>
      </c>
      <c r="U30" s="44">
        <f t="shared" si="0"/>
        <v>22</v>
      </c>
      <c r="V30" s="41">
        <v>631</v>
      </c>
      <c r="W30" s="41">
        <v>2</v>
      </c>
      <c r="X30" s="41">
        <f>(W30*Q30*R30*V30)/D30</f>
        <v>96.642185400806085</v>
      </c>
      <c r="Y30" s="41" t="s">
        <v>73</v>
      </c>
      <c r="Z30" s="276">
        <f>W30*U30+W31*U31+W32*U32</f>
        <v>136</v>
      </c>
      <c r="AA30" s="36"/>
      <c r="AB30" s="36"/>
      <c r="AC30" s="36"/>
      <c r="AD30" s="36"/>
      <c r="AE30" s="36"/>
      <c r="AF30" s="36"/>
      <c r="AG30" s="36"/>
      <c r="AH30" s="36"/>
      <c r="AI30" s="36"/>
      <c r="AJ30" s="36"/>
      <c r="AK30" s="36"/>
      <c r="AL30" s="36"/>
      <c r="AM30" s="36"/>
      <c r="AN30" s="36"/>
      <c r="AO30" s="36"/>
      <c r="AP30" s="36"/>
      <c r="AQ30" s="36"/>
      <c r="AR30" s="36"/>
      <c r="AS30" s="160"/>
      <c r="AT30" s="160"/>
      <c r="AU30" s="160"/>
      <c r="AV30" s="160"/>
      <c r="AW30" s="160"/>
      <c r="AX30" s="160"/>
      <c r="AY30" s="160"/>
      <c r="AZ30" s="160"/>
      <c r="BA30" s="160"/>
      <c r="BB30" s="160"/>
      <c r="BC30" s="160"/>
      <c r="BD30" s="160"/>
      <c r="BE30" s="160"/>
      <c r="BF30" s="160"/>
      <c r="BG30" s="160"/>
      <c r="BH30" s="160"/>
      <c r="BI30" s="160"/>
      <c r="BJ30" s="160"/>
      <c r="BK30" s="160"/>
      <c r="BL30" s="160"/>
      <c r="BM30" s="160"/>
      <c r="BN30" s="160"/>
      <c r="BO30" s="160"/>
      <c r="BP30" s="160"/>
      <c r="BQ30" s="160"/>
      <c r="BR30" s="160"/>
      <c r="BS30" s="160"/>
      <c r="BT30" s="160"/>
      <c r="BU30" s="160"/>
    </row>
    <row r="31" spans="1:73" s="23" customFormat="1" ht="30" x14ac:dyDescent="0.2">
      <c r="A31" s="286"/>
      <c r="B31" s="274"/>
      <c r="C31" s="276"/>
      <c r="D31" s="277"/>
      <c r="E31" s="277"/>
      <c r="F31" s="277"/>
      <c r="G31" s="277"/>
      <c r="H31" s="277"/>
      <c r="I31" s="277"/>
      <c r="J31" s="277"/>
      <c r="K31" s="295"/>
      <c r="L31" s="276"/>
      <c r="M31" s="276"/>
      <c r="N31" s="276"/>
      <c r="O31" s="44" t="s">
        <v>60</v>
      </c>
      <c r="P31" s="41">
        <v>1</v>
      </c>
      <c r="Q31" s="41">
        <f>P31*J30</f>
        <v>0.72</v>
      </c>
      <c r="R31" s="41">
        <v>0.95</v>
      </c>
      <c r="S31" s="44" t="s">
        <v>62</v>
      </c>
      <c r="T31" s="41">
        <v>15</v>
      </c>
      <c r="U31" s="44">
        <f t="shared" si="0"/>
        <v>30</v>
      </c>
      <c r="V31" s="41">
        <v>672</v>
      </c>
      <c r="W31" s="41">
        <v>2</v>
      </c>
      <c r="X31" s="41">
        <f>(W31*Q31*R31*V31)/D30</f>
        <v>102.92163009404388</v>
      </c>
      <c r="Y31" s="276">
        <f>X31+X32</f>
        <v>226.06000895656064</v>
      </c>
      <c r="Z31" s="276"/>
      <c r="AA31" s="36"/>
      <c r="AB31" s="36"/>
      <c r="AC31" s="36"/>
      <c r="AD31" s="36"/>
      <c r="AE31" s="36"/>
      <c r="AF31" s="36"/>
      <c r="AG31" s="36"/>
      <c r="AH31" s="36"/>
      <c r="AI31" s="36"/>
      <c r="AJ31" s="36"/>
      <c r="AK31" s="36"/>
      <c r="AL31" s="36"/>
      <c r="AM31" s="36"/>
      <c r="AN31" s="36"/>
      <c r="AO31" s="36"/>
      <c r="AP31" s="36"/>
      <c r="AQ31" s="36"/>
      <c r="AR31" s="36"/>
      <c r="AS31" s="160"/>
      <c r="AT31" s="160"/>
      <c r="AU31" s="160"/>
      <c r="AV31" s="160"/>
      <c r="AW31" s="160"/>
      <c r="AX31" s="160"/>
      <c r="AY31" s="160"/>
      <c r="AZ31" s="160"/>
      <c r="BA31" s="160"/>
      <c r="BB31" s="160"/>
      <c r="BC31" s="160"/>
      <c r="BD31" s="160"/>
      <c r="BE31" s="160"/>
      <c r="BF31" s="160"/>
      <c r="BG31" s="160"/>
      <c r="BH31" s="160"/>
      <c r="BI31" s="160"/>
      <c r="BJ31" s="160"/>
      <c r="BK31" s="160"/>
      <c r="BL31" s="160"/>
      <c r="BM31" s="160"/>
      <c r="BN31" s="160"/>
      <c r="BO31" s="160"/>
      <c r="BP31" s="160"/>
      <c r="BQ31" s="160"/>
      <c r="BR31" s="160"/>
      <c r="BS31" s="160"/>
      <c r="BT31" s="160"/>
      <c r="BU31" s="160"/>
    </row>
    <row r="32" spans="1:73" s="23" customFormat="1" ht="45" x14ac:dyDescent="0.2">
      <c r="A32" s="287"/>
      <c r="B32" s="275"/>
      <c r="C32" s="276"/>
      <c r="D32" s="277"/>
      <c r="E32" s="277"/>
      <c r="F32" s="277"/>
      <c r="G32" s="277"/>
      <c r="H32" s="277"/>
      <c r="I32" s="277"/>
      <c r="J32" s="277"/>
      <c r="K32" s="295"/>
      <c r="L32" s="276"/>
      <c r="M32" s="276"/>
      <c r="N32" s="276"/>
      <c r="O32" s="44" t="s">
        <v>57</v>
      </c>
      <c r="P32" s="41">
        <v>1</v>
      </c>
      <c r="Q32" s="41">
        <f>P32*J26</f>
        <v>0.72</v>
      </c>
      <c r="R32" s="41">
        <v>0.95</v>
      </c>
      <c r="S32" s="44" t="s">
        <v>62</v>
      </c>
      <c r="T32" s="41">
        <v>16</v>
      </c>
      <c r="U32" s="44">
        <f t="shared" si="0"/>
        <v>32</v>
      </c>
      <c r="V32" s="41">
        <v>1608</v>
      </c>
      <c r="W32" s="41">
        <v>1</v>
      </c>
      <c r="X32" s="41">
        <f>(W32*Q32*R32*V32)/D30</f>
        <v>123.13837886251677</v>
      </c>
      <c r="Y32" s="276"/>
      <c r="Z32" s="276"/>
      <c r="AA32" s="36"/>
      <c r="AB32" s="36"/>
      <c r="AC32" s="36"/>
      <c r="AD32" s="36"/>
      <c r="AE32" s="36"/>
      <c r="AF32" s="36"/>
      <c r="AG32" s="36"/>
      <c r="AH32" s="36"/>
      <c r="AI32" s="36"/>
      <c r="AJ32" s="36"/>
      <c r="AK32" s="36"/>
      <c r="AL32" s="36"/>
      <c r="AM32" s="36"/>
      <c r="AN32" s="36"/>
      <c r="AO32" s="36"/>
      <c r="AP32" s="36"/>
      <c r="AQ32" s="36"/>
      <c r="AR32" s="36"/>
      <c r="AS32" s="160"/>
      <c r="AT32" s="160"/>
      <c r="AU32" s="160"/>
      <c r="AV32" s="160"/>
      <c r="AW32" s="160"/>
      <c r="AX32" s="160"/>
      <c r="AY32" s="160"/>
      <c r="AZ32" s="160"/>
      <c r="BA32" s="160"/>
      <c r="BB32" s="160"/>
      <c r="BC32" s="160"/>
      <c r="BD32" s="160"/>
      <c r="BE32" s="160"/>
      <c r="BF32" s="160"/>
      <c r="BG32" s="160"/>
      <c r="BH32" s="160"/>
      <c r="BI32" s="160"/>
      <c r="BJ32" s="160"/>
      <c r="BK32" s="160"/>
      <c r="BL32" s="160"/>
      <c r="BM32" s="160"/>
      <c r="BN32" s="160"/>
      <c r="BO32" s="160"/>
      <c r="BP32" s="160"/>
      <c r="BQ32" s="160"/>
      <c r="BR32" s="160"/>
      <c r="BS32" s="160"/>
      <c r="BT32" s="160"/>
      <c r="BU32" s="160"/>
    </row>
    <row r="33" spans="1:73" s="28" customFormat="1" ht="30" x14ac:dyDescent="0.2">
      <c r="A33" s="279" t="s">
        <v>37</v>
      </c>
      <c r="B33" s="289">
        <v>3.6</v>
      </c>
      <c r="C33" s="265">
        <v>4.2</v>
      </c>
      <c r="D33" s="264">
        <f t="shared" ref="D33" si="10">B33*C33</f>
        <v>15.120000000000001</v>
      </c>
      <c r="E33" s="264">
        <f t="shared" ref="E33" si="11">(B33+C33)*2</f>
        <v>15.600000000000001</v>
      </c>
      <c r="F33" s="264">
        <v>3.02</v>
      </c>
      <c r="G33" s="264">
        <v>0.7</v>
      </c>
      <c r="H33" s="264">
        <f t="shared" ref="H33" si="12">F33-G33</f>
        <v>2.3200000000000003</v>
      </c>
      <c r="I33" s="264">
        <f t="shared" ref="I33" si="13">(B33*C33)/(H33*(B33+C33))</f>
        <v>0.83554376657824925</v>
      </c>
      <c r="J33" s="264">
        <v>0.85</v>
      </c>
      <c r="K33" s="295"/>
      <c r="L33" s="265">
        <f t="shared" ref="L33" si="14">IF(D33&lt;=6,100,(((D33-6)/4)*60)+100)</f>
        <v>236.8</v>
      </c>
      <c r="M33" s="265" t="s">
        <v>21</v>
      </c>
      <c r="N33" s="265">
        <v>200</v>
      </c>
      <c r="O33" s="43" t="s">
        <v>60</v>
      </c>
      <c r="P33" s="40">
        <v>1</v>
      </c>
      <c r="Q33" s="40">
        <v>0.85</v>
      </c>
      <c r="R33" s="40">
        <v>0.95</v>
      </c>
      <c r="S33" s="43" t="s">
        <v>62</v>
      </c>
      <c r="T33" s="43">
        <v>15</v>
      </c>
      <c r="U33" s="43">
        <f t="shared" si="0"/>
        <v>30</v>
      </c>
      <c r="V33" s="40">
        <v>675</v>
      </c>
      <c r="W33" s="40">
        <v>3</v>
      </c>
      <c r="X33" s="40">
        <f>(W33*Q33*R33*V33)/D33</f>
        <v>108.14732142857142</v>
      </c>
      <c r="Y33" s="265">
        <f>X33+X34</f>
        <v>204.91914682539681</v>
      </c>
      <c r="Z33" s="265">
        <f>W33*U33+W34*U34+U35*W35</f>
        <v>142</v>
      </c>
      <c r="AA33" s="36"/>
      <c r="AB33" s="36"/>
      <c r="AC33" s="36"/>
      <c r="AD33" s="36"/>
      <c r="AE33" s="36"/>
      <c r="AF33" s="36"/>
      <c r="AG33" s="36"/>
      <c r="AH33" s="36"/>
      <c r="AI33" s="36"/>
      <c r="AJ33" s="36"/>
      <c r="AK33" s="36"/>
      <c r="AL33" s="36"/>
      <c r="AM33" s="36"/>
      <c r="AN33" s="36"/>
      <c r="AO33" s="36"/>
      <c r="AP33" s="36"/>
      <c r="AQ33" s="36"/>
      <c r="AR33" s="36"/>
      <c r="AS33" s="160"/>
      <c r="AT33" s="160"/>
      <c r="AU33" s="160"/>
      <c r="AV33" s="160"/>
      <c r="AW33" s="160"/>
      <c r="AX33" s="160"/>
      <c r="AY33" s="160"/>
      <c r="AZ33" s="160"/>
      <c r="BA33" s="160"/>
      <c r="BB33" s="160"/>
      <c r="BC33" s="160"/>
      <c r="BD33" s="160"/>
      <c r="BE33" s="160"/>
      <c r="BF33" s="160"/>
      <c r="BG33" s="160"/>
      <c r="BH33" s="160"/>
      <c r="BI33" s="160"/>
      <c r="BJ33" s="160"/>
      <c r="BK33" s="160"/>
      <c r="BL33" s="160"/>
      <c r="BM33" s="160"/>
      <c r="BN33" s="160"/>
      <c r="BO33" s="160"/>
      <c r="BP33" s="160"/>
      <c r="BQ33" s="160"/>
      <c r="BR33" s="160"/>
      <c r="BS33" s="160"/>
      <c r="BT33" s="160"/>
      <c r="BU33" s="160"/>
    </row>
    <row r="34" spans="1:73" s="27" customFormat="1" ht="30" x14ac:dyDescent="0.2">
      <c r="A34" s="284"/>
      <c r="B34" s="270"/>
      <c r="C34" s="265"/>
      <c r="D34" s="264"/>
      <c r="E34" s="264"/>
      <c r="F34" s="264"/>
      <c r="G34" s="264"/>
      <c r="H34" s="264"/>
      <c r="I34" s="264"/>
      <c r="J34" s="264"/>
      <c r="K34" s="295"/>
      <c r="L34" s="265"/>
      <c r="M34" s="265"/>
      <c r="N34" s="265"/>
      <c r="O34" s="43" t="s">
        <v>72</v>
      </c>
      <c r="P34" s="40">
        <v>1</v>
      </c>
      <c r="Q34" s="40">
        <f>P34*J33</f>
        <v>0.85</v>
      </c>
      <c r="R34" s="40">
        <v>0.95</v>
      </c>
      <c r="S34" s="43" t="s">
        <v>55</v>
      </c>
      <c r="T34" s="43">
        <v>3</v>
      </c>
      <c r="U34" s="43">
        <f>T34/0.5</f>
        <v>6</v>
      </c>
      <c r="V34" s="40">
        <v>302</v>
      </c>
      <c r="W34" s="40">
        <v>6</v>
      </c>
      <c r="X34" s="40">
        <f>(W34*Q34*R34*V34)/D33</f>
        <v>96.771825396825378</v>
      </c>
      <c r="Y34" s="265"/>
      <c r="Z34" s="265"/>
      <c r="AA34" s="36"/>
      <c r="AB34" s="36"/>
      <c r="AC34" s="36"/>
      <c r="AD34" s="36"/>
      <c r="AE34" s="36"/>
      <c r="AF34" s="36"/>
      <c r="AG34" s="36"/>
      <c r="AH34" s="36"/>
      <c r="AI34" s="36"/>
      <c r="AJ34" s="36"/>
      <c r="AK34" s="36"/>
      <c r="AL34" s="36"/>
      <c r="AM34" s="36"/>
      <c r="AN34" s="36"/>
      <c r="AO34" s="36"/>
      <c r="AP34" s="36"/>
      <c r="AQ34" s="36"/>
      <c r="AR34" s="36"/>
      <c r="AS34" s="160"/>
      <c r="AT34" s="160"/>
      <c r="AU34" s="160"/>
      <c r="AV34" s="160"/>
      <c r="AW34" s="160"/>
      <c r="AX34" s="160"/>
      <c r="AY34" s="160"/>
      <c r="AZ34" s="160"/>
      <c r="BA34" s="160"/>
      <c r="BB34" s="160"/>
      <c r="BC34" s="160"/>
      <c r="BD34" s="160"/>
      <c r="BE34" s="160"/>
      <c r="BF34" s="160"/>
      <c r="BG34" s="160"/>
      <c r="BH34" s="160"/>
      <c r="BI34" s="160"/>
      <c r="BJ34" s="160"/>
      <c r="BK34" s="160"/>
      <c r="BL34" s="160"/>
      <c r="BM34" s="160"/>
      <c r="BN34" s="160"/>
      <c r="BO34" s="160"/>
      <c r="BP34" s="160"/>
      <c r="BQ34" s="160"/>
      <c r="BR34" s="160"/>
      <c r="BS34" s="160"/>
      <c r="BT34" s="160"/>
      <c r="BU34" s="160"/>
    </row>
    <row r="35" spans="1:73" s="27" customFormat="1" ht="30" x14ac:dyDescent="0.2">
      <c r="A35" s="280"/>
      <c r="B35" s="271"/>
      <c r="C35" s="265"/>
      <c r="D35" s="264"/>
      <c r="E35" s="264"/>
      <c r="F35" s="264"/>
      <c r="G35" s="264"/>
      <c r="H35" s="264"/>
      <c r="I35" s="264"/>
      <c r="J35" s="264"/>
      <c r="K35" s="295"/>
      <c r="L35" s="265"/>
      <c r="M35" s="265"/>
      <c r="N35" s="265"/>
      <c r="O35" s="43" t="s">
        <v>49</v>
      </c>
      <c r="P35" s="40">
        <v>1</v>
      </c>
      <c r="Q35" s="40">
        <f>P35*J33</f>
        <v>0.85</v>
      </c>
      <c r="R35" s="40">
        <v>0.95</v>
      </c>
      <c r="S35" s="43" t="s">
        <v>56</v>
      </c>
      <c r="T35" s="43">
        <v>4</v>
      </c>
      <c r="U35" s="43">
        <f>T35/0.5</f>
        <v>8</v>
      </c>
      <c r="V35" s="40">
        <v>400</v>
      </c>
      <c r="W35" s="40">
        <v>2</v>
      </c>
      <c r="X35" s="40">
        <f>(W35*Q35*R35*V35)/D33</f>
        <v>42.724867724867721</v>
      </c>
      <c r="Y35" s="40" t="s">
        <v>73</v>
      </c>
      <c r="Z35" s="265"/>
      <c r="AA35" s="36"/>
      <c r="AB35" s="36"/>
      <c r="AC35" s="36"/>
      <c r="AD35" s="36"/>
      <c r="AE35" s="36"/>
      <c r="AF35" s="36"/>
      <c r="AG35" s="36"/>
      <c r="AH35" s="36"/>
      <c r="AI35" s="36"/>
      <c r="AJ35" s="36"/>
      <c r="AK35" s="36"/>
      <c r="AL35" s="36"/>
      <c r="AM35" s="36"/>
      <c r="AN35" s="36"/>
      <c r="AO35" s="36"/>
      <c r="AP35" s="36"/>
      <c r="AQ35" s="36"/>
      <c r="AR35" s="36"/>
      <c r="AS35" s="160"/>
      <c r="AT35" s="160"/>
      <c r="AU35" s="160"/>
      <c r="AV35" s="160"/>
      <c r="AW35" s="160"/>
      <c r="AX35" s="160"/>
      <c r="AY35" s="160"/>
      <c r="AZ35" s="160"/>
      <c r="BA35" s="160"/>
      <c r="BB35" s="160"/>
      <c r="BC35" s="160"/>
      <c r="BD35" s="160"/>
      <c r="BE35" s="160"/>
      <c r="BF35" s="160"/>
      <c r="BG35" s="160"/>
      <c r="BH35" s="160"/>
      <c r="BI35" s="160"/>
      <c r="BJ35" s="160"/>
      <c r="BK35" s="160"/>
      <c r="BL35" s="160"/>
      <c r="BM35" s="160"/>
      <c r="BN35" s="160"/>
      <c r="BO35" s="160"/>
      <c r="BP35" s="160"/>
      <c r="BQ35" s="160"/>
      <c r="BR35" s="160"/>
      <c r="BS35" s="160"/>
      <c r="BT35" s="160"/>
      <c r="BU35" s="160"/>
    </row>
    <row r="36" spans="1:73" s="34" customFormat="1" ht="30" x14ac:dyDescent="0.2">
      <c r="A36" s="32" t="s">
        <v>38</v>
      </c>
      <c r="B36" s="33">
        <v>2</v>
      </c>
      <c r="C36" s="41">
        <v>2.3199999999999998</v>
      </c>
      <c r="D36" s="37">
        <f t="shared" si="2"/>
        <v>4.6399999999999997</v>
      </c>
      <c r="E36" s="37">
        <f t="shared" si="3"/>
        <v>8.64</v>
      </c>
      <c r="F36" s="37">
        <v>3.02</v>
      </c>
      <c r="G36" s="37">
        <v>0.5</v>
      </c>
      <c r="H36" s="37">
        <f t="shared" si="4"/>
        <v>2.52</v>
      </c>
      <c r="I36" s="37">
        <f>(3*B36*C36)/(2*H36*(B36+C36))</f>
        <v>0.6393298059964726</v>
      </c>
      <c r="J36" s="37">
        <v>0.72</v>
      </c>
      <c r="K36" s="295"/>
      <c r="L36" s="41">
        <f t="shared" si="6"/>
        <v>100</v>
      </c>
      <c r="M36" s="41" t="s">
        <v>21</v>
      </c>
      <c r="N36" s="41">
        <v>150</v>
      </c>
      <c r="O36" s="44" t="s">
        <v>74</v>
      </c>
      <c r="P36" s="41">
        <v>1</v>
      </c>
      <c r="Q36" s="41">
        <f>P36*J36</f>
        <v>0.72</v>
      </c>
      <c r="R36" s="41">
        <v>0.95</v>
      </c>
      <c r="S36" s="44" t="s">
        <v>62</v>
      </c>
      <c r="T36" s="41">
        <v>17</v>
      </c>
      <c r="U36" s="44">
        <f t="shared" si="0"/>
        <v>34</v>
      </c>
      <c r="V36" s="41">
        <v>1493</v>
      </c>
      <c r="W36" s="41">
        <v>1</v>
      </c>
      <c r="X36" s="41">
        <f>(W36*Q36*R36*V36)/D36</f>
        <v>220.08879310344827</v>
      </c>
      <c r="Y36" s="41">
        <f>X36</f>
        <v>220.08879310344827</v>
      </c>
      <c r="Z36" s="41">
        <f>W36*U36</f>
        <v>34</v>
      </c>
      <c r="AA36" s="36"/>
      <c r="AB36" s="36"/>
      <c r="AC36" s="36"/>
      <c r="AD36" s="36"/>
      <c r="AE36" s="36"/>
      <c r="AF36" s="36"/>
      <c r="AG36" s="36"/>
      <c r="AH36" s="36"/>
      <c r="AI36" s="36"/>
      <c r="AJ36" s="36"/>
      <c r="AK36" s="36"/>
      <c r="AL36" s="36"/>
      <c r="AM36" s="36"/>
      <c r="AN36" s="36"/>
      <c r="AO36" s="36"/>
      <c r="AP36" s="36"/>
      <c r="AQ36" s="36"/>
      <c r="AR36" s="36"/>
      <c r="AS36" s="160"/>
      <c r="AT36" s="160"/>
      <c r="AU36" s="160"/>
      <c r="AV36" s="160"/>
      <c r="AW36" s="160"/>
      <c r="AX36" s="160"/>
      <c r="AY36" s="160"/>
      <c r="AZ36" s="160"/>
      <c r="BA36" s="160"/>
      <c r="BB36" s="160"/>
      <c r="BC36" s="160"/>
      <c r="BD36" s="160"/>
      <c r="BE36" s="160"/>
      <c r="BF36" s="160"/>
      <c r="BG36" s="160"/>
      <c r="BH36" s="160"/>
      <c r="BI36" s="160"/>
      <c r="BJ36" s="160"/>
      <c r="BK36" s="160"/>
      <c r="BL36" s="160"/>
      <c r="BM36" s="160"/>
      <c r="BN36" s="160"/>
      <c r="BO36" s="160"/>
      <c r="BP36" s="160"/>
      <c r="BQ36" s="160"/>
      <c r="BR36" s="160"/>
      <c r="BS36" s="160"/>
      <c r="BT36" s="160"/>
      <c r="BU36" s="160"/>
    </row>
    <row r="37" spans="1:73" s="31" customFormat="1" ht="30" x14ac:dyDescent="0.2">
      <c r="A37" s="279" t="s">
        <v>39</v>
      </c>
      <c r="B37" s="270">
        <v>4.63</v>
      </c>
      <c r="C37" s="265">
        <v>2.4500000000000002</v>
      </c>
      <c r="D37" s="264">
        <f>B37*C37</f>
        <v>11.343500000000001</v>
      </c>
      <c r="E37" s="264">
        <f>(B37+C37)*2</f>
        <v>14.16</v>
      </c>
      <c r="F37" s="264">
        <v>3.02</v>
      </c>
      <c r="G37" s="264">
        <v>0</v>
      </c>
      <c r="H37" s="264">
        <f>F37-G37</f>
        <v>3.02</v>
      </c>
      <c r="I37" s="264">
        <f>(B37*C37)/(H37*(B37+C37))</f>
        <v>0.53052624686646466</v>
      </c>
      <c r="J37" s="264">
        <v>0.72</v>
      </c>
      <c r="K37" s="295"/>
      <c r="L37" s="265">
        <f>IF(D37&lt;=6,100,(((D37-6)/4)*60)+100)</f>
        <v>180.1525</v>
      </c>
      <c r="M37" s="265" t="s">
        <v>21</v>
      </c>
      <c r="N37" s="265">
        <v>150</v>
      </c>
      <c r="O37" s="43" t="s">
        <v>60</v>
      </c>
      <c r="P37" s="40">
        <v>1</v>
      </c>
      <c r="Q37" s="40">
        <f>P37*J37</f>
        <v>0.72</v>
      </c>
      <c r="R37" s="40">
        <v>0.95</v>
      </c>
      <c r="S37" s="43" t="s">
        <v>62</v>
      </c>
      <c r="T37" s="40">
        <v>15</v>
      </c>
      <c r="U37" s="43">
        <f t="shared" si="0"/>
        <v>30</v>
      </c>
      <c r="V37" s="40">
        <v>672</v>
      </c>
      <c r="W37" s="40">
        <v>2</v>
      </c>
      <c r="X37" s="40">
        <f>(W37*Q37*R37*V37)/D37</f>
        <v>81.04165381055229</v>
      </c>
      <c r="Y37" s="265">
        <f>X38+X37</f>
        <v>178.00220390532019</v>
      </c>
      <c r="Z37" s="265">
        <f>W37*U37+W38*U38</f>
        <v>92</v>
      </c>
      <c r="AA37" s="36"/>
      <c r="AB37" s="36"/>
      <c r="AC37" s="36"/>
      <c r="AD37" s="36"/>
      <c r="AE37" s="36"/>
      <c r="AF37" s="36"/>
      <c r="AG37" s="36"/>
      <c r="AH37" s="36"/>
      <c r="AI37" s="36"/>
      <c r="AJ37" s="36"/>
      <c r="AK37" s="36"/>
      <c r="AL37" s="36"/>
      <c r="AM37" s="36"/>
      <c r="AN37" s="36"/>
      <c r="AO37" s="36"/>
      <c r="AP37" s="36"/>
      <c r="AQ37" s="36"/>
      <c r="AR37" s="36"/>
      <c r="AS37" s="160"/>
      <c r="AT37" s="160"/>
      <c r="AU37" s="160"/>
      <c r="AV37" s="160"/>
      <c r="AW37" s="160"/>
      <c r="AX37" s="160"/>
      <c r="AY37" s="160"/>
      <c r="AZ37" s="160"/>
      <c r="BA37" s="160"/>
      <c r="BB37" s="160"/>
      <c r="BC37" s="160"/>
      <c r="BD37" s="160"/>
      <c r="BE37" s="160"/>
      <c r="BF37" s="160"/>
      <c r="BG37" s="160"/>
      <c r="BH37" s="160"/>
      <c r="BI37" s="160"/>
      <c r="BJ37" s="160"/>
      <c r="BK37" s="160"/>
      <c r="BL37" s="160"/>
      <c r="BM37" s="160"/>
      <c r="BN37" s="160"/>
      <c r="BO37" s="160"/>
      <c r="BP37" s="160"/>
      <c r="BQ37" s="160"/>
      <c r="BR37" s="160"/>
      <c r="BS37" s="160"/>
      <c r="BT37" s="160"/>
      <c r="BU37" s="160"/>
    </row>
    <row r="38" spans="1:73" s="31" customFormat="1" ht="45" x14ac:dyDescent="0.2">
      <c r="A38" s="288"/>
      <c r="B38" s="271"/>
      <c r="C38" s="265"/>
      <c r="D38" s="264"/>
      <c r="E38" s="264"/>
      <c r="F38" s="264"/>
      <c r="G38" s="264"/>
      <c r="H38" s="264"/>
      <c r="I38" s="264"/>
      <c r="J38" s="264"/>
      <c r="K38" s="295"/>
      <c r="L38" s="265"/>
      <c r="M38" s="265"/>
      <c r="N38" s="265"/>
      <c r="O38" s="43" t="s">
        <v>57</v>
      </c>
      <c r="P38" s="40">
        <v>1</v>
      </c>
      <c r="Q38" s="40">
        <f>P38*J37</f>
        <v>0.72</v>
      </c>
      <c r="R38" s="40">
        <v>0.95</v>
      </c>
      <c r="S38" s="43" t="s">
        <v>62</v>
      </c>
      <c r="T38" s="40">
        <v>16</v>
      </c>
      <c r="U38" s="43">
        <f t="shared" si="0"/>
        <v>32</v>
      </c>
      <c r="V38" s="40">
        <v>1608</v>
      </c>
      <c r="W38" s="40">
        <v>1</v>
      </c>
      <c r="X38" s="40">
        <f>(W38*Q38*R38*V38)/D37</f>
        <v>96.96055009476791</v>
      </c>
      <c r="Y38" s="265"/>
      <c r="Z38" s="265"/>
      <c r="AA38" s="36"/>
      <c r="AB38" s="36"/>
      <c r="AC38" s="36"/>
      <c r="AD38" s="36"/>
      <c r="AE38" s="36"/>
      <c r="AF38" s="36"/>
      <c r="AG38" s="36"/>
      <c r="AH38" s="36"/>
      <c r="AI38" s="36"/>
      <c r="AJ38" s="36"/>
      <c r="AK38" s="36"/>
      <c r="AL38" s="36"/>
      <c r="AM38" s="36"/>
      <c r="AN38" s="36"/>
      <c r="AO38" s="36"/>
      <c r="AP38" s="36"/>
      <c r="AQ38" s="36"/>
      <c r="AR38" s="36"/>
      <c r="AS38" s="160"/>
      <c r="AT38" s="160"/>
      <c r="AU38" s="160"/>
      <c r="AV38" s="160"/>
      <c r="AW38" s="160"/>
      <c r="AX38" s="160"/>
      <c r="AY38" s="160"/>
      <c r="AZ38" s="160"/>
      <c r="BA38" s="160"/>
      <c r="BB38" s="160"/>
      <c r="BC38" s="160"/>
      <c r="BD38" s="160"/>
      <c r="BE38" s="160"/>
      <c r="BF38" s="160"/>
      <c r="BG38" s="160"/>
      <c r="BH38" s="160"/>
      <c r="BI38" s="160"/>
      <c r="BJ38" s="160"/>
      <c r="BK38" s="160"/>
      <c r="BL38" s="160"/>
      <c r="BM38" s="160"/>
      <c r="BN38" s="160"/>
      <c r="BO38" s="160"/>
      <c r="BP38" s="160"/>
      <c r="BQ38" s="160"/>
      <c r="BR38" s="160"/>
      <c r="BS38" s="160"/>
      <c r="BT38" s="160"/>
      <c r="BU38" s="160"/>
    </row>
    <row r="39" spans="1:73" s="34" customFormat="1" ht="45" x14ac:dyDescent="0.2">
      <c r="A39" s="47" t="s">
        <v>40</v>
      </c>
      <c r="B39" s="48">
        <v>4.6500000000000004</v>
      </c>
      <c r="C39" s="49">
        <v>5.35</v>
      </c>
      <c r="D39" s="50">
        <f t="shared" si="2"/>
        <v>24.877500000000001</v>
      </c>
      <c r="E39" s="50">
        <f t="shared" si="3"/>
        <v>20</v>
      </c>
      <c r="F39" s="50">
        <v>3.02</v>
      </c>
      <c r="G39" s="50">
        <v>0</v>
      </c>
      <c r="H39" s="50">
        <f t="shared" si="4"/>
        <v>3.02</v>
      </c>
      <c r="I39" s="50">
        <f t="shared" si="5"/>
        <v>0.82375827814569547</v>
      </c>
      <c r="J39" s="50">
        <v>0.85</v>
      </c>
      <c r="K39" s="295"/>
      <c r="L39" s="49">
        <f t="shared" si="6"/>
        <v>383.16250000000002</v>
      </c>
      <c r="M39" s="49" t="s">
        <v>21</v>
      </c>
      <c r="N39" s="49">
        <v>150</v>
      </c>
      <c r="O39" s="51" t="s">
        <v>57</v>
      </c>
      <c r="P39" s="49">
        <v>1</v>
      </c>
      <c r="Q39" s="49">
        <f>P39*J39</f>
        <v>0.85</v>
      </c>
      <c r="R39" s="49">
        <v>0.95</v>
      </c>
      <c r="S39" s="51" t="s">
        <v>62</v>
      </c>
      <c r="T39" s="49">
        <v>16</v>
      </c>
      <c r="U39" s="51">
        <f t="shared" si="0"/>
        <v>32</v>
      </c>
      <c r="V39" s="49">
        <v>1608</v>
      </c>
      <c r="W39" s="49">
        <v>3</v>
      </c>
      <c r="X39" s="49">
        <f>(W39*Q39*R39*V39)/D39</f>
        <v>156.5824540247211</v>
      </c>
      <c r="Y39" s="49">
        <f>X39</f>
        <v>156.5824540247211</v>
      </c>
      <c r="Z39" s="49">
        <f>W39*U39</f>
        <v>96</v>
      </c>
      <c r="AA39" s="36"/>
      <c r="AB39" s="36"/>
      <c r="AC39" s="36"/>
      <c r="AD39" s="36"/>
      <c r="AE39" s="36"/>
      <c r="AF39" s="36"/>
      <c r="AG39" s="36"/>
      <c r="AH39" s="36"/>
      <c r="AI39" s="36"/>
      <c r="AJ39" s="36"/>
      <c r="AK39" s="36"/>
      <c r="AL39" s="36"/>
      <c r="AM39" s="36"/>
      <c r="AN39" s="36"/>
      <c r="AO39" s="36"/>
      <c r="AP39" s="36"/>
      <c r="AQ39" s="36"/>
      <c r="AR39" s="36"/>
      <c r="AS39" s="160"/>
      <c r="AT39" s="160"/>
      <c r="AU39" s="160"/>
      <c r="AV39" s="160"/>
      <c r="AW39" s="160"/>
      <c r="AX39" s="160"/>
      <c r="AY39" s="160"/>
      <c r="AZ39" s="160"/>
      <c r="BA39" s="160"/>
      <c r="BB39" s="160"/>
      <c r="BC39" s="160"/>
      <c r="BD39" s="160"/>
      <c r="BE39" s="160"/>
      <c r="BF39" s="160"/>
      <c r="BG39" s="160"/>
      <c r="BH39" s="160"/>
      <c r="BI39" s="160"/>
      <c r="BJ39" s="160"/>
      <c r="BK39" s="160"/>
      <c r="BL39" s="160"/>
      <c r="BM39" s="160"/>
      <c r="BN39" s="160"/>
      <c r="BO39" s="160"/>
      <c r="BP39" s="160"/>
      <c r="BQ39" s="160"/>
      <c r="BR39" s="160"/>
      <c r="BS39" s="160"/>
      <c r="BT39" s="160"/>
      <c r="BU39" s="160"/>
    </row>
    <row r="40" spans="1:73" s="57" customFormat="1" ht="15" x14ac:dyDescent="0.2">
      <c r="A40" s="54" t="s">
        <v>78</v>
      </c>
      <c r="B40" s="55">
        <v>8</v>
      </c>
      <c r="C40" s="55">
        <v>1.35</v>
      </c>
      <c r="D40" s="55">
        <f t="shared" si="2"/>
        <v>10.8</v>
      </c>
      <c r="E40" s="55">
        <f t="shared" si="3"/>
        <v>18.7</v>
      </c>
      <c r="F40" s="293" t="s">
        <v>92</v>
      </c>
      <c r="G40" s="293"/>
      <c r="H40" s="293"/>
      <c r="I40" s="293"/>
      <c r="J40" s="293"/>
      <c r="K40" s="295"/>
      <c r="L40" s="55">
        <f t="shared" si="6"/>
        <v>172</v>
      </c>
      <c r="M40" s="55" t="s">
        <v>21</v>
      </c>
      <c r="N40" s="55">
        <v>200</v>
      </c>
      <c r="O40" s="54" t="s">
        <v>93</v>
      </c>
      <c r="P40" s="55">
        <v>1</v>
      </c>
      <c r="Q40" s="55">
        <f>P40*J37</f>
        <v>0.72</v>
      </c>
      <c r="R40" s="55">
        <v>0.95</v>
      </c>
      <c r="S40" s="54" t="s">
        <v>62</v>
      </c>
      <c r="T40" s="55">
        <v>3</v>
      </c>
      <c r="U40" s="55">
        <f t="shared" si="0"/>
        <v>6</v>
      </c>
      <c r="V40" s="55" t="s">
        <v>94</v>
      </c>
      <c r="W40" s="55">
        <v>22</v>
      </c>
      <c r="X40" s="55" t="s">
        <v>94</v>
      </c>
      <c r="Y40" s="55" t="s">
        <v>94</v>
      </c>
      <c r="Z40" s="55">
        <f>W40*U40</f>
        <v>132</v>
      </c>
      <c r="AA40" s="56"/>
      <c r="AB40" s="56"/>
      <c r="AC40" s="56"/>
      <c r="AD40" s="56"/>
      <c r="AE40" s="56"/>
      <c r="AF40" s="56"/>
      <c r="AG40" s="56"/>
      <c r="AH40" s="56"/>
      <c r="AI40" s="56"/>
      <c r="AJ40" s="56"/>
      <c r="AK40" s="56"/>
      <c r="AL40" s="56"/>
      <c r="AM40" s="56"/>
      <c r="AN40" s="56"/>
      <c r="AO40" s="56"/>
      <c r="AP40" s="56"/>
      <c r="AQ40" s="56"/>
      <c r="AR40" s="172"/>
      <c r="AS40" s="160"/>
      <c r="AT40" s="160"/>
      <c r="AU40" s="160"/>
      <c r="AV40" s="160"/>
      <c r="AW40" s="160"/>
      <c r="AX40" s="160"/>
      <c r="AY40" s="160"/>
      <c r="AZ40" s="160"/>
      <c r="BA40" s="160"/>
      <c r="BB40" s="160"/>
      <c r="BC40" s="160"/>
      <c r="BD40" s="160"/>
      <c r="BE40" s="160"/>
      <c r="BF40" s="160"/>
      <c r="BG40" s="160"/>
      <c r="BH40" s="160"/>
      <c r="BI40" s="160"/>
      <c r="BJ40" s="160"/>
      <c r="BK40" s="160"/>
      <c r="BL40" s="160"/>
      <c r="BM40" s="160"/>
      <c r="BN40" s="160"/>
      <c r="BO40" s="160"/>
      <c r="BP40" s="160"/>
      <c r="BQ40" s="160"/>
      <c r="BR40" s="160"/>
      <c r="BS40" s="160"/>
      <c r="BT40" s="160"/>
      <c r="BU40" s="160"/>
    </row>
    <row r="41" spans="1:73" s="58" customFormat="1" ht="30" x14ac:dyDescent="0.2">
      <c r="A41" s="51" t="s">
        <v>120</v>
      </c>
      <c r="B41" s="292" t="s">
        <v>92</v>
      </c>
      <c r="C41" s="292"/>
      <c r="D41" s="292"/>
      <c r="E41" s="292"/>
      <c r="F41" s="292"/>
      <c r="G41" s="292"/>
      <c r="H41" s="292"/>
      <c r="I41" s="292"/>
      <c r="J41" s="292"/>
      <c r="K41" s="295"/>
      <c r="L41" s="49" t="s">
        <v>143</v>
      </c>
      <c r="M41" s="49" t="s">
        <v>21</v>
      </c>
      <c r="N41" s="49" t="s">
        <v>143</v>
      </c>
      <c r="O41" s="51" t="s">
        <v>100</v>
      </c>
      <c r="P41" s="49">
        <v>1</v>
      </c>
      <c r="Q41" s="49" t="s">
        <v>143</v>
      </c>
      <c r="R41" s="49">
        <v>0.95</v>
      </c>
      <c r="S41" s="51" t="s">
        <v>62</v>
      </c>
      <c r="T41" s="49">
        <v>30</v>
      </c>
      <c r="U41" s="49">
        <f t="shared" si="0"/>
        <v>60</v>
      </c>
      <c r="V41" s="49" t="s">
        <v>94</v>
      </c>
      <c r="W41" s="49">
        <v>3</v>
      </c>
      <c r="X41" s="49" t="s">
        <v>94</v>
      </c>
      <c r="Y41" s="49" t="s">
        <v>94</v>
      </c>
      <c r="Z41" s="49">
        <f>W41*U41</f>
        <v>180</v>
      </c>
      <c r="AA41" s="56"/>
      <c r="AB41" s="56"/>
      <c r="AC41" s="56"/>
      <c r="AD41" s="56"/>
      <c r="AE41" s="56"/>
      <c r="AF41" s="56"/>
      <c r="AG41" s="56"/>
      <c r="AH41" s="56"/>
      <c r="AI41" s="56"/>
      <c r="AJ41" s="56"/>
      <c r="AK41" s="56"/>
      <c r="AL41" s="56"/>
      <c r="AM41" s="56"/>
      <c r="AN41" s="56"/>
      <c r="AO41" s="56"/>
      <c r="AP41" s="56"/>
      <c r="AQ41" s="56"/>
      <c r="AR41" s="172"/>
      <c r="AS41" s="160"/>
      <c r="AT41" s="160"/>
      <c r="AU41" s="160"/>
      <c r="AV41" s="160"/>
      <c r="AW41" s="160"/>
      <c r="AX41" s="160"/>
      <c r="AY41" s="160"/>
      <c r="AZ41" s="160"/>
      <c r="BA41" s="160"/>
      <c r="BB41" s="160"/>
      <c r="BC41" s="160"/>
      <c r="BD41" s="160"/>
      <c r="BE41" s="160"/>
      <c r="BF41" s="160"/>
      <c r="BG41" s="160"/>
      <c r="BH41" s="160"/>
      <c r="BI41" s="160"/>
      <c r="BJ41" s="160"/>
      <c r="BK41" s="160"/>
      <c r="BL41" s="160"/>
      <c r="BM41" s="160"/>
      <c r="BN41" s="160"/>
      <c r="BO41" s="160"/>
      <c r="BP41" s="160"/>
      <c r="BQ41" s="160"/>
      <c r="BR41" s="160"/>
      <c r="BS41" s="160"/>
      <c r="BT41" s="160"/>
      <c r="BU41" s="160"/>
    </row>
    <row r="42" spans="1:73" s="57" customFormat="1" ht="15" x14ac:dyDescent="0.2">
      <c r="A42" s="290" t="s">
        <v>192</v>
      </c>
      <c r="B42" s="265" t="s">
        <v>92</v>
      </c>
      <c r="C42" s="265"/>
      <c r="D42" s="265"/>
      <c r="E42" s="265"/>
      <c r="F42" s="265"/>
      <c r="G42" s="265"/>
      <c r="H42" s="265"/>
      <c r="I42" s="265"/>
      <c r="J42" s="265"/>
      <c r="K42" s="295"/>
      <c r="L42" s="55" t="s">
        <v>143</v>
      </c>
      <c r="M42" s="55" t="s">
        <v>21</v>
      </c>
      <c r="N42" s="55" t="s">
        <v>143</v>
      </c>
      <c r="O42" s="54" t="s">
        <v>93</v>
      </c>
      <c r="P42" s="55">
        <v>1</v>
      </c>
      <c r="Q42" s="55" t="s">
        <v>143</v>
      </c>
      <c r="R42" s="55">
        <v>0.95</v>
      </c>
      <c r="S42" s="54" t="s">
        <v>62</v>
      </c>
      <c r="T42" s="55">
        <v>30</v>
      </c>
      <c r="U42" s="55">
        <f t="shared" si="0"/>
        <v>60</v>
      </c>
      <c r="V42" s="55"/>
      <c r="W42" s="55">
        <v>18</v>
      </c>
      <c r="X42" s="55" t="s">
        <v>143</v>
      </c>
      <c r="Y42" s="55" t="s">
        <v>143</v>
      </c>
      <c r="Z42" s="265">
        <f>W42*U42+W43*U43</f>
        <v>1164</v>
      </c>
      <c r="AA42" s="56"/>
      <c r="AB42" s="56"/>
      <c r="AC42" s="56"/>
      <c r="AD42" s="56"/>
      <c r="AE42" s="56"/>
      <c r="AF42" s="56"/>
      <c r="AG42" s="56"/>
      <c r="AH42" s="56"/>
      <c r="AI42" s="56"/>
      <c r="AJ42" s="56"/>
      <c r="AK42" s="56"/>
      <c r="AL42" s="56"/>
      <c r="AM42" s="56"/>
      <c r="AN42" s="56"/>
      <c r="AO42" s="56"/>
      <c r="AP42" s="56"/>
      <c r="AQ42" s="56"/>
      <c r="AR42" s="172"/>
      <c r="AS42" s="160"/>
      <c r="AT42" s="160"/>
      <c r="AU42" s="160"/>
      <c r="AV42" s="160"/>
      <c r="AW42" s="160"/>
      <c r="AX42" s="160"/>
      <c r="AY42" s="160"/>
      <c r="AZ42" s="160"/>
      <c r="BA42" s="160"/>
      <c r="BB42" s="160"/>
      <c r="BC42" s="160"/>
      <c r="BD42" s="160"/>
      <c r="BE42" s="160"/>
      <c r="BF42" s="160"/>
      <c r="BG42" s="160"/>
      <c r="BH42" s="160"/>
      <c r="BI42" s="160"/>
      <c r="BJ42" s="160"/>
      <c r="BK42" s="160"/>
      <c r="BL42" s="160"/>
      <c r="BM42" s="160"/>
      <c r="BN42" s="160"/>
      <c r="BO42" s="160"/>
      <c r="BP42" s="160"/>
      <c r="BQ42" s="160"/>
      <c r="BR42" s="160"/>
      <c r="BS42" s="160"/>
      <c r="BT42" s="160"/>
      <c r="BU42" s="160"/>
    </row>
    <row r="43" spans="1:73" s="53" customFormat="1" ht="30" x14ac:dyDescent="0.2">
      <c r="A43" s="291"/>
      <c r="B43" s="265"/>
      <c r="C43" s="265"/>
      <c r="D43" s="265"/>
      <c r="E43" s="265"/>
      <c r="F43" s="265"/>
      <c r="G43" s="265"/>
      <c r="H43" s="265"/>
      <c r="I43" s="265"/>
      <c r="J43" s="265"/>
      <c r="K43" s="296"/>
      <c r="L43" s="40" t="s">
        <v>143</v>
      </c>
      <c r="M43" s="40" t="s">
        <v>21</v>
      </c>
      <c r="N43" s="40" t="s">
        <v>143</v>
      </c>
      <c r="O43" s="43" t="s">
        <v>100</v>
      </c>
      <c r="P43" s="40">
        <v>1</v>
      </c>
      <c r="Q43" s="40" t="s">
        <v>143</v>
      </c>
      <c r="R43" s="40">
        <v>0.95</v>
      </c>
      <c r="S43" s="43" t="s">
        <v>62</v>
      </c>
      <c r="T43" s="40">
        <v>3</v>
      </c>
      <c r="U43" s="40">
        <f t="shared" si="0"/>
        <v>6</v>
      </c>
      <c r="V43" s="40"/>
      <c r="W43" s="40">
        <v>14</v>
      </c>
      <c r="X43" s="40" t="s">
        <v>143</v>
      </c>
      <c r="Y43" s="40" t="s">
        <v>143</v>
      </c>
      <c r="Z43" s="265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  <c r="AQ43" s="52"/>
      <c r="AR43" s="173"/>
      <c r="AS43" s="160"/>
      <c r="AT43" s="160"/>
      <c r="AU43" s="160"/>
      <c r="AV43" s="160"/>
      <c r="AW43" s="160"/>
      <c r="AX43" s="160"/>
      <c r="AY43" s="160"/>
      <c r="AZ43" s="160"/>
      <c r="BA43" s="160"/>
      <c r="BB43" s="160"/>
      <c r="BC43" s="160"/>
      <c r="BD43" s="160"/>
      <c r="BE43" s="160"/>
      <c r="BF43" s="160"/>
      <c r="BG43" s="160"/>
      <c r="BH43" s="160"/>
      <c r="BI43" s="160"/>
      <c r="BJ43" s="160"/>
      <c r="BK43" s="160"/>
      <c r="BL43" s="160"/>
      <c r="BM43" s="160"/>
      <c r="BN43" s="160"/>
      <c r="BO43" s="160"/>
      <c r="BP43" s="160"/>
      <c r="BQ43" s="160"/>
      <c r="BR43" s="160"/>
      <c r="BS43" s="160"/>
      <c r="BT43" s="160"/>
      <c r="BU43" s="160"/>
    </row>
    <row r="44" spans="1:73" s="1" customFormat="1" ht="21.75" customHeight="1" x14ac:dyDescent="0.2">
      <c r="C44" s="14"/>
      <c r="D44" s="14"/>
      <c r="E44" s="14"/>
      <c r="F44" s="60"/>
      <c r="G44" s="15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35"/>
      <c r="AB44" s="35"/>
      <c r="AC44" s="35"/>
      <c r="AD44" s="35"/>
      <c r="AE44" s="35"/>
      <c r="AF44" s="35"/>
      <c r="AG44" s="35"/>
      <c r="AH44" s="35"/>
      <c r="AI44" s="35"/>
      <c r="AJ44" s="35"/>
      <c r="AK44" s="35"/>
      <c r="AL44" s="35"/>
      <c r="AM44" s="35"/>
      <c r="AN44" s="35"/>
      <c r="AO44" s="35"/>
      <c r="AP44" s="35"/>
      <c r="AQ44" s="35"/>
      <c r="AR44" s="35"/>
      <c r="AS44" s="35"/>
      <c r="AT44" s="35"/>
      <c r="AU44" s="35"/>
      <c r="AV44" s="35"/>
      <c r="AW44" s="35"/>
      <c r="AX44" s="35"/>
      <c r="AY44" s="35"/>
      <c r="AZ44" s="35"/>
      <c r="BA44" s="35"/>
      <c r="BB44" s="35"/>
      <c r="BC44" s="35"/>
      <c r="BD44" s="35"/>
      <c r="BE44" s="35"/>
      <c r="BF44" s="35"/>
      <c r="BG44" s="35"/>
      <c r="BH44" s="35"/>
      <c r="BI44" s="35"/>
      <c r="BJ44" s="35"/>
      <c r="BK44" s="35"/>
      <c r="BL44" s="35"/>
      <c r="BM44" s="35"/>
      <c r="BN44" s="35"/>
      <c r="BO44" s="35"/>
      <c r="BP44" s="35"/>
      <c r="BQ44" s="35"/>
      <c r="BR44" s="35"/>
      <c r="BS44" s="35"/>
      <c r="BT44" s="35"/>
      <c r="BU44" s="35"/>
    </row>
    <row r="45" spans="1:73" s="1" customFormat="1" ht="30" x14ac:dyDescent="0.2">
      <c r="C45" s="14"/>
      <c r="D45" s="14"/>
      <c r="E45" s="14"/>
      <c r="F45" s="62" t="s">
        <v>41</v>
      </c>
      <c r="G45" s="62" t="s">
        <v>42</v>
      </c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35"/>
      <c r="AB45" s="35"/>
      <c r="AC45" s="35"/>
      <c r="AD45" s="35"/>
      <c r="AE45" s="35"/>
      <c r="AF45" s="35"/>
      <c r="AG45" s="35"/>
      <c r="AH45" s="35"/>
      <c r="AI45" s="35"/>
      <c r="AJ45" s="35"/>
      <c r="AK45" s="35"/>
      <c r="AL45" s="35"/>
      <c r="AM45" s="35"/>
      <c r="AN45" s="35"/>
      <c r="AO45" s="35"/>
      <c r="AP45" s="35"/>
      <c r="AQ45" s="35"/>
      <c r="AR45" s="35"/>
      <c r="AS45" s="35"/>
      <c r="AT45" s="35"/>
      <c r="AU45" s="35"/>
      <c r="AV45" s="35"/>
      <c r="AW45" s="35"/>
      <c r="AX45" s="35"/>
      <c r="AY45" s="35"/>
      <c r="AZ45" s="35"/>
      <c r="BA45" s="35"/>
      <c r="BB45" s="35"/>
      <c r="BC45" s="35"/>
      <c r="BD45" s="35"/>
      <c r="BE45" s="35"/>
      <c r="BF45" s="35"/>
      <c r="BG45" s="35"/>
      <c r="BH45" s="35"/>
      <c r="BI45" s="35"/>
      <c r="BJ45" s="35"/>
      <c r="BK45" s="35"/>
      <c r="BL45" s="35"/>
      <c r="BM45" s="35"/>
      <c r="BN45" s="35"/>
      <c r="BO45" s="35"/>
      <c r="BP45" s="35"/>
      <c r="BQ45" s="35"/>
      <c r="BR45" s="35"/>
      <c r="BS45" s="35"/>
      <c r="BT45" s="35"/>
      <c r="BU45" s="35"/>
    </row>
    <row r="46" spans="1:73" s="1" customFormat="1" ht="21.75" customHeight="1" x14ac:dyDescent="0.2">
      <c r="C46" s="14"/>
      <c r="D46" s="14"/>
      <c r="E46" s="14"/>
      <c r="F46" s="63">
        <v>0.6</v>
      </c>
      <c r="G46" s="176">
        <v>0.72</v>
      </c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35"/>
      <c r="AB46" s="35"/>
      <c r="AC46" s="35"/>
      <c r="AD46" s="35"/>
      <c r="AE46" s="35"/>
      <c r="AF46" s="35"/>
      <c r="AG46" s="35"/>
      <c r="AH46" s="35"/>
      <c r="AI46" s="35"/>
      <c r="AJ46" s="35"/>
      <c r="AK46" s="35"/>
      <c r="AL46" s="35"/>
      <c r="AM46" s="35"/>
      <c r="AN46" s="35"/>
      <c r="AO46" s="35"/>
      <c r="AP46" s="35"/>
      <c r="AQ46" s="35"/>
      <c r="AR46" s="35"/>
      <c r="AS46" s="35"/>
      <c r="AT46" s="35"/>
      <c r="AU46" s="35"/>
      <c r="AV46" s="35"/>
      <c r="AW46" s="35"/>
      <c r="AX46" s="35"/>
      <c r="AY46" s="35"/>
      <c r="AZ46" s="35"/>
      <c r="BA46" s="35"/>
      <c r="BB46" s="35"/>
      <c r="BC46" s="35"/>
      <c r="BD46" s="35"/>
      <c r="BE46" s="35"/>
      <c r="BF46" s="35"/>
      <c r="BG46" s="35"/>
      <c r="BH46" s="35"/>
      <c r="BI46" s="35"/>
      <c r="BJ46" s="35"/>
      <c r="BK46" s="35"/>
      <c r="BL46" s="35"/>
      <c r="BM46" s="35"/>
      <c r="BN46" s="35"/>
      <c r="BO46" s="35"/>
      <c r="BP46" s="35"/>
      <c r="BQ46" s="35"/>
      <c r="BR46" s="35"/>
      <c r="BS46" s="35"/>
      <c r="BT46" s="35"/>
      <c r="BU46" s="35"/>
    </row>
    <row r="47" spans="1:73" s="1" customFormat="1" ht="21.75" customHeight="1" x14ac:dyDescent="0.2">
      <c r="C47" s="14"/>
      <c r="D47" s="14"/>
      <c r="E47" s="14"/>
      <c r="F47" s="64">
        <v>0.8</v>
      </c>
      <c r="G47" s="159">
        <v>0.85</v>
      </c>
      <c r="H47" s="14"/>
      <c r="I47" s="14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35"/>
      <c r="AB47" s="35"/>
      <c r="AC47" s="35"/>
      <c r="AD47" s="35"/>
      <c r="AE47" s="35"/>
      <c r="AF47" s="35"/>
      <c r="AG47" s="35"/>
      <c r="AH47" s="35"/>
      <c r="AI47" s="35"/>
      <c r="AJ47" s="35"/>
      <c r="AK47" s="35"/>
      <c r="AL47" s="35"/>
      <c r="AM47" s="35"/>
      <c r="AN47" s="35"/>
      <c r="AO47" s="35"/>
      <c r="AP47" s="35"/>
      <c r="AQ47" s="35"/>
      <c r="AR47" s="35"/>
      <c r="AS47" s="35"/>
      <c r="AT47" s="35"/>
      <c r="AU47" s="35"/>
      <c r="AV47" s="35"/>
      <c r="AW47" s="35"/>
      <c r="AX47" s="35"/>
      <c r="AY47" s="35"/>
      <c r="AZ47" s="35"/>
      <c r="BA47" s="35"/>
      <c r="BB47" s="35"/>
      <c r="BC47" s="35"/>
      <c r="BD47" s="35"/>
      <c r="BE47" s="35"/>
      <c r="BF47" s="35"/>
      <c r="BG47" s="35"/>
      <c r="BH47" s="35"/>
      <c r="BI47" s="35"/>
      <c r="BJ47" s="35"/>
      <c r="BK47" s="35"/>
      <c r="BL47" s="35"/>
      <c r="BM47" s="35"/>
      <c r="BN47" s="35"/>
      <c r="BO47" s="35"/>
      <c r="BP47" s="35"/>
      <c r="BQ47" s="35"/>
      <c r="BR47" s="35"/>
      <c r="BS47" s="35"/>
      <c r="BT47" s="35"/>
      <c r="BU47" s="35"/>
    </row>
    <row r="48" spans="1:73" s="1" customFormat="1" ht="21.75" customHeight="1" x14ac:dyDescent="0.2">
      <c r="C48" s="14"/>
      <c r="D48" s="14"/>
      <c r="E48" s="14"/>
      <c r="F48" s="63">
        <v>1</v>
      </c>
      <c r="G48" s="176">
        <v>0.94</v>
      </c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35"/>
      <c r="AB48" s="35"/>
      <c r="AC48" s="35"/>
      <c r="AD48" s="35"/>
      <c r="AE48" s="35"/>
      <c r="AF48" s="35"/>
      <c r="AG48" s="35"/>
      <c r="AH48" s="35"/>
      <c r="AI48" s="35"/>
      <c r="AJ48" s="35"/>
      <c r="AK48" s="35"/>
      <c r="AL48" s="35"/>
      <c r="AM48" s="35"/>
      <c r="AN48" s="35"/>
      <c r="AO48" s="35"/>
      <c r="AP48" s="35"/>
      <c r="AQ48" s="35"/>
      <c r="AR48" s="35"/>
      <c r="AS48" s="35"/>
      <c r="AT48" s="35"/>
      <c r="AU48" s="35"/>
      <c r="AV48" s="35"/>
      <c r="AW48" s="35"/>
      <c r="AX48" s="35"/>
      <c r="AY48" s="35"/>
      <c r="AZ48" s="35"/>
      <c r="BA48" s="35"/>
      <c r="BB48" s="35"/>
      <c r="BC48" s="35"/>
      <c r="BD48" s="35"/>
      <c r="BE48" s="35"/>
      <c r="BF48" s="35"/>
      <c r="BG48" s="35"/>
      <c r="BH48" s="35"/>
      <c r="BI48" s="35"/>
      <c r="BJ48" s="35"/>
      <c r="BK48" s="35"/>
      <c r="BL48" s="35"/>
      <c r="BM48" s="35"/>
      <c r="BN48" s="35"/>
      <c r="BO48" s="35"/>
      <c r="BP48" s="35"/>
      <c r="BQ48" s="35"/>
      <c r="BR48" s="35"/>
      <c r="BS48" s="35"/>
      <c r="BT48" s="35"/>
      <c r="BU48" s="35"/>
    </row>
    <row r="49" spans="1:73" s="1" customFormat="1" ht="21.75" customHeight="1" x14ac:dyDescent="0.2">
      <c r="C49" s="14"/>
      <c r="D49" s="14"/>
      <c r="E49" s="14"/>
      <c r="F49" s="64">
        <v>1.25</v>
      </c>
      <c r="G49" s="159">
        <v>1.01</v>
      </c>
      <c r="H49" s="14"/>
      <c r="I49" s="14"/>
      <c r="J49" s="14"/>
      <c r="K49" s="14"/>
      <c r="L49" s="14"/>
      <c r="M49" s="14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5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</row>
    <row r="50" spans="1:73" s="1" customFormat="1" ht="21.75" customHeight="1" x14ac:dyDescent="0.2">
      <c r="C50" s="14"/>
      <c r="D50" s="14"/>
      <c r="E50" s="14"/>
      <c r="F50" s="63">
        <v>1.5</v>
      </c>
      <c r="G50" s="176">
        <v>1.05</v>
      </c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35"/>
      <c r="AB50" s="35"/>
      <c r="AC50" s="35"/>
      <c r="AD50" s="35"/>
      <c r="AE50" s="35"/>
      <c r="AF50" s="35"/>
      <c r="AG50" s="35"/>
      <c r="AH50" s="35"/>
      <c r="AI50" s="35"/>
      <c r="AJ50" s="35"/>
      <c r="AK50" s="35"/>
      <c r="AL50" s="35"/>
      <c r="AM50" s="35"/>
      <c r="AN50" s="35"/>
      <c r="AO50" s="35"/>
      <c r="AP50" s="35"/>
      <c r="AQ50" s="35"/>
      <c r="AR50" s="35"/>
      <c r="AS50" s="35"/>
      <c r="AT50" s="35"/>
      <c r="AU50" s="35"/>
      <c r="AV50" s="35"/>
      <c r="AW50" s="35"/>
      <c r="AX50" s="35"/>
      <c r="AY50" s="35"/>
      <c r="AZ50" s="35"/>
      <c r="BA50" s="35"/>
      <c r="BB50" s="35"/>
      <c r="BC50" s="35"/>
      <c r="BD50" s="35"/>
      <c r="BE50" s="35"/>
      <c r="BF50" s="35"/>
      <c r="BG50" s="35"/>
      <c r="BH50" s="35"/>
      <c r="BI50" s="35"/>
      <c r="BJ50" s="35"/>
      <c r="BK50" s="35"/>
      <c r="BL50" s="35"/>
      <c r="BM50" s="35"/>
      <c r="BN50" s="35"/>
      <c r="BO50" s="35"/>
      <c r="BP50" s="35"/>
      <c r="BQ50" s="35"/>
      <c r="BR50" s="35"/>
      <c r="BS50" s="35"/>
      <c r="BT50" s="35"/>
      <c r="BU50" s="35"/>
    </row>
    <row r="51" spans="1:73" s="1" customFormat="1" ht="21.75" customHeight="1" x14ac:dyDescent="0.2">
      <c r="C51" s="14"/>
      <c r="D51" s="14"/>
      <c r="E51" s="14"/>
      <c r="F51" s="64">
        <v>2</v>
      </c>
      <c r="G51" s="159">
        <v>1.1100000000000001</v>
      </c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35"/>
      <c r="AB51" s="35"/>
      <c r="AC51" s="35"/>
      <c r="AD51" s="35"/>
      <c r="AE51" s="35"/>
      <c r="AF51" s="35"/>
      <c r="AG51" s="35"/>
      <c r="AH51" s="35"/>
      <c r="AI51" s="35"/>
      <c r="AJ51" s="35"/>
      <c r="AK51" s="35"/>
      <c r="AL51" s="35"/>
      <c r="AM51" s="35"/>
      <c r="AN51" s="35"/>
      <c r="AO51" s="35"/>
      <c r="AP51" s="35"/>
      <c r="AQ51" s="35"/>
      <c r="AR51" s="35"/>
      <c r="AS51" s="35"/>
      <c r="AT51" s="35"/>
      <c r="AU51" s="35"/>
      <c r="AV51" s="35"/>
      <c r="AW51" s="35"/>
      <c r="AX51" s="35"/>
      <c r="AY51" s="35"/>
      <c r="AZ51" s="35"/>
      <c r="BA51" s="35"/>
      <c r="BB51" s="35"/>
      <c r="BC51" s="35"/>
      <c r="BD51" s="35"/>
      <c r="BE51" s="35"/>
      <c r="BF51" s="35"/>
      <c r="BG51" s="35"/>
      <c r="BH51" s="35"/>
      <c r="BI51" s="35"/>
      <c r="BJ51" s="35"/>
      <c r="BK51" s="35"/>
      <c r="BL51" s="35"/>
      <c r="BM51" s="35"/>
      <c r="BN51" s="35"/>
      <c r="BO51" s="35"/>
      <c r="BP51" s="35"/>
      <c r="BQ51" s="35"/>
      <c r="BR51" s="35"/>
      <c r="BS51" s="35"/>
      <c r="BT51" s="35"/>
      <c r="BU51" s="35"/>
    </row>
    <row r="52" spans="1:73" s="1" customFormat="1" ht="21.75" customHeight="1" x14ac:dyDescent="0.2">
      <c r="C52" s="14"/>
      <c r="D52" s="14"/>
      <c r="E52" s="14"/>
      <c r="F52" s="63">
        <v>2.5</v>
      </c>
      <c r="G52" s="176">
        <v>1.1499999999999999</v>
      </c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35"/>
      <c r="AB52" s="35"/>
      <c r="AC52" s="35"/>
      <c r="AD52" s="35"/>
      <c r="AE52" s="35"/>
      <c r="AF52" s="35"/>
      <c r="AG52" s="35"/>
      <c r="AH52" s="35"/>
      <c r="AI52" s="35"/>
      <c r="AJ52" s="35"/>
      <c r="AK52" s="35"/>
      <c r="AL52" s="35"/>
      <c r="AM52" s="35"/>
      <c r="AN52" s="35"/>
      <c r="AO52" s="35"/>
      <c r="AP52" s="35"/>
      <c r="AQ52" s="35"/>
      <c r="AR52" s="35"/>
      <c r="AS52" s="35"/>
      <c r="AT52" s="35"/>
      <c r="AU52" s="35"/>
      <c r="AV52" s="35"/>
      <c r="AW52" s="35"/>
      <c r="AX52" s="35"/>
      <c r="AY52" s="35"/>
      <c r="AZ52" s="35"/>
      <c r="BA52" s="35"/>
      <c r="BB52" s="35"/>
      <c r="BC52" s="35"/>
      <c r="BD52" s="35"/>
      <c r="BE52" s="35"/>
      <c r="BF52" s="35"/>
      <c r="BG52" s="35"/>
      <c r="BH52" s="35"/>
      <c r="BI52" s="35"/>
      <c r="BJ52" s="35"/>
      <c r="BK52" s="35"/>
      <c r="BL52" s="35"/>
      <c r="BM52" s="35"/>
      <c r="BN52" s="35"/>
      <c r="BO52" s="35"/>
      <c r="BP52" s="35"/>
      <c r="BQ52" s="35"/>
      <c r="BR52" s="35"/>
      <c r="BS52" s="35"/>
      <c r="BT52" s="35"/>
      <c r="BU52" s="35"/>
    </row>
    <row r="53" spans="1:73" s="1" customFormat="1" ht="21.75" customHeight="1" x14ac:dyDescent="0.2">
      <c r="C53" s="14"/>
      <c r="D53" s="14"/>
      <c r="E53" s="14"/>
      <c r="F53" s="64">
        <v>3</v>
      </c>
      <c r="G53" s="159">
        <v>1.18</v>
      </c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35"/>
      <c r="AB53" s="35"/>
      <c r="AC53" s="35"/>
      <c r="AD53" s="35"/>
      <c r="AE53" s="35"/>
      <c r="AF53" s="35"/>
      <c r="AG53" s="35"/>
      <c r="AH53" s="35"/>
      <c r="AI53" s="35"/>
      <c r="AJ53" s="35"/>
      <c r="AK53" s="35"/>
      <c r="AL53" s="35"/>
      <c r="AM53" s="35"/>
      <c r="AN53" s="35"/>
      <c r="AO53" s="35"/>
      <c r="AP53" s="35"/>
      <c r="AQ53" s="35"/>
      <c r="AR53" s="35"/>
      <c r="AS53" s="35"/>
      <c r="AT53" s="35"/>
      <c r="AU53" s="35"/>
      <c r="AV53" s="35"/>
      <c r="AW53" s="35"/>
      <c r="AX53" s="35"/>
      <c r="AY53" s="35"/>
      <c r="AZ53" s="35"/>
      <c r="BA53" s="35"/>
      <c r="BB53" s="35"/>
      <c r="BC53" s="35"/>
      <c r="BD53" s="35"/>
      <c r="BE53" s="35"/>
      <c r="BF53" s="35"/>
      <c r="BG53" s="35"/>
      <c r="BH53" s="35"/>
      <c r="BI53" s="35"/>
      <c r="BJ53" s="35"/>
      <c r="BK53" s="35"/>
      <c r="BL53" s="35"/>
      <c r="BM53" s="35"/>
      <c r="BN53" s="35"/>
      <c r="BO53" s="35"/>
      <c r="BP53" s="35"/>
      <c r="BQ53" s="35"/>
      <c r="BR53" s="35"/>
      <c r="BS53" s="35"/>
      <c r="BT53" s="35"/>
      <c r="BU53" s="35"/>
    </row>
    <row r="54" spans="1:73" s="1" customFormat="1" ht="21.75" customHeight="1" x14ac:dyDescent="0.2">
      <c r="C54" s="14"/>
      <c r="D54" s="14"/>
      <c r="E54" s="14"/>
      <c r="F54" s="63">
        <v>4</v>
      </c>
      <c r="G54" s="176">
        <v>1.21</v>
      </c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35"/>
      <c r="AB54" s="35"/>
      <c r="AC54" s="35"/>
      <c r="AD54" s="35"/>
      <c r="AE54" s="35"/>
      <c r="AF54" s="35"/>
      <c r="AG54" s="35"/>
      <c r="AH54" s="35"/>
      <c r="AI54" s="35"/>
      <c r="AJ54" s="35"/>
      <c r="AK54" s="35"/>
      <c r="AL54" s="35"/>
      <c r="AM54" s="35"/>
      <c r="AN54" s="35"/>
      <c r="AO54" s="35"/>
      <c r="AP54" s="35"/>
      <c r="AQ54" s="35"/>
      <c r="AR54" s="35"/>
      <c r="AS54" s="35"/>
      <c r="AT54" s="35"/>
      <c r="AU54" s="35"/>
      <c r="AV54" s="35"/>
      <c r="AW54" s="35"/>
      <c r="AX54" s="35"/>
      <c r="AY54" s="35"/>
      <c r="AZ54" s="35"/>
      <c r="BA54" s="35"/>
      <c r="BB54" s="35"/>
      <c r="BC54" s="35"/>
      <c r="BD54" s="35"/>
      <c r="BE54" s="35"/>
      <c r="BF54" s="35"/>
      <c r="BG54" s="35"/>
      <c r="BH54" s="35"/>
      <c r="BI54" s="35"/>
      <c r="BJ54" s="35"/>
      <c r="BK54" s="35"/>
      <c r="BL54" s="35"/>
      <c r="BM54" s="35"/>
      <c r="BN54" s="35"/>
      <c r="BO54" s="35"/>
      <c r="BP54" s="35"/>
      <c r="BQ54" s="35"/>
      <c r="BR54" s="35"/>
      <c r="BS54" s="35"/>
      <c r="BT54" s="35"/>
      <c r="BU54" s="35"/>
    </row>
    <row r="55" spans="1:73" s="5" customFormat="1" ht="19.5" customHeight="1" x14ac:dyDescent="0.2">
      <c r="A55" s="174"/>
      <c r="F55" s="64">
        <v>5</v>
      </c>
      <c r="G55" s="159">
        <v>1.23</v>
      </c>
      <c r="AA55" s="35"/>
      <c r="AB55" s="35"/>
      <c r="AC55" s="35"/>
      <c r="AD55" s="35"/>
      <c r="AE55" s="35"/>
      <c r="AF55" s="35"/>
      <c r="AG55" s="35"/>
      <c r="AH55" s="35"/>
      <c r="AI55" s="35"/>
      <c r="AJ55" s="35"/>
      <c r="AK55" s="35"/>
      <c r="AL55" s="35"/>
      <c r="AM55" s="35"/>
      <c r="AN55" s="35"/>
      <c r="AO55" s="35"/>
      <c r="AP55" s="35"/>
      <c r="AQ55" s="35"/>
      <c r="AR55" s="35"/>
      <c r="AS55" s="35"/>
      <c r="AT55" s="35"/>
      <c r="AU55" s="35"/>
      <c r="AV55" s="35"/>
      <c r="AW55" s="35"/>
      <c r="AX55" s="35"/>
      <c r="AY55" s="35"/>
      <c r="AZ55" s="35"/>
      <c r="BA55" s="35"/>
      <c r="BB55" s="35"/>
      <c r="BC55" s="35"/>
      <c r="BD55" s="35"/>
      <c r="BE55" s="35"/>
      <c r="BF55" s="35"/>
      <c r="BG55" s="35"/>
      <c r="BH55" s="35"/>
      <c r="BI55" s="35"/>
      <c r="BJ55" s="35"/>
      <c r="BK55" s="35"/>
      <c r="BL55" s="35"/>
      <c r="BM55" s="35"/>
      <c r="BN55" s="35"/>
      <c r="BO55" s="35"/>
      <c r="BP55" s="35"/>
      <c r="BQ55" s="35"/>
      <c r="BR55" s="35"/>
      <c r="BS55" s="35"/>
      <c r="BT55" s="35"/>
      <c r="BU55" s="35"/>
    </row>
    <row r="56" spans="1:73" s="5" customFormat="1" ht="21.75" customHeight="1" x14ac:dyDescent="0.2">
      <c r="A56" s="174"/>
      <c r="AA56" s="35"/>
      <c r="AB56" s="35"/>
      <c r="AC56" s="35"/>
      <c r="AD56" s="35"/>
      <c r="AE56" s="35"/>
      <c r="AF56" s="35"/>
      <c r="AG56" s="35"/>
      <c r="AH56" s="35"/>
      <c r="AI56" s="35"/>
      <c r="AJ56" s="35"/>
      <c r="AK56" s="35"/>
      <c r="AL56" s="35"/>
      <c r="AM56" s="35"/>
      <c r="AN56" s="35"/>
      <c r="AO56" s="35"/>
      <c r="AP56" s="35"/>
      <c r="AQ56" s="35"/>
      <c r="AR56" s="35"/>
      <c r="AS56" s="35"/>
      <c r="AT56" s="35"/>
      <c r="AU56" s="35"/>
      <c r="AV56" s="35"/>
      <c r="AW56" s="35"/>
      <c r="AX56" s="35"/>
      <c r="AY56" s="35"/>
      <c r="AZ56" s="35"/>
      <c r="BA56" s="35"/>
      <c r="BB56" s="35"/>
      <c r="BC56" s="35"/>
      <c r="BD56" s="35"/>
      <c r="BE56" s="35"/>
      <c r="BF56" s="35"/>
      <c r="BG56" s="35"/>
      <c r="BH56" s="35"/>
      <c r="BI56" s="35"/>
      <c r="BJ56" s="35"/>
      <c r="BK56" s="35"/>
      <c r="BL56" s="35"/>
      <c r="BM56" s="35"/>
      <c r="BN56" s="35"/>
      <c r="BO56" s="35"/>
      <c r="BP56" s="35"/>
      <c r="BQ56" s="35"/>
      <c r="BR56" s="35"/>
      <c r="BS56" s="35"/>
      <c r="BT56" s="35"/>
      <c r="BU56" s="35"/>
    </row>
    <row r="57" spans="1:73" s="6" customFormat="1" ht="21.75" customHeight="1" x14ac:dyDescent="0.25">
      <c r="A57" s="175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  <c r="AU57" s="10"/>
      <c r="AV57" s="10"/>
      <c r="AW57" s="10"/>
      <c r="AX57" s="10"/>
      <c r="AY57" s="10"/>
      <c r="AZ57" s="10"/>
      <c r="BA57" s="10"/>
      <c r="BB57" s="10"/>
      <c r="BC57" s="10"/>
      <c r="BD57" s="10"/>
      <c r="BE57" s="10"/>
      <c r="BF57" s="10"/>
      <c r="BG57" s="10"/>
      <c r="BH57" s="10"/>
      <c r="BI57" s="10"/>
      <c r="BJ57" s="10"/>
      <c r="BK57" s="10"/>
      <c r="BL57" s="10"/>
      <c r="BM57" s="10"/>
      <c r="BN57" s="10"/>
      <c r="BO57" s="10"/>
      <c r="BP57" s="10"/>
      <c r="BQ57" s="10"/>
      <c r="BR57" s="10"/>
      <c r="BS57" s="10"/>
      <c r="BT57" s="10"/>
      <c r="BU57" s="10"/>
    </row>
    <row r="58" spans="1:73" s="6" customFormat="1" ht="21.75" customHeight="1" x14ac:dyDescent="0.25">
      <c r="A58" s="175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  <c r="AU58" s="10"/>
      <c r="AV58" s="10"/>
      <c r="AW58" s="10"/>
      <c r="AX58" s="10"/>
      <c r="AY58" s="10"/>
      <c r="AZ58" s="10"/>
      <c r="BA58" s="10"/>
      <c r="BB58" s="10"/>
      <c r="BC58" s="10"/>
      <c r="BD58" s="10"/>
      <c r="BE58" s="10"/>
      <c r="BF58" s="10"/>
      <c r="BG58" s="10"/>
      <c r="BH58" s="10"/>
      <c r="BI58" s="10"/>
      <c r="BJ58" s="10"/>
      <c r="BK58" s="10"/>
      <c r="BL58" s="10"/>
      <c r="BM58" s="10"/>
      <c r="BN58" s="10"/>
      <c r="BO58" s="10"/>
      <c r="BP58" s="10"/>
      <c r="BQ58" s="10"/>
      <c r="BR58" s="10"/>
      <c r="BS58" s="10"/>
      <c r="BT58" s="10"/>
      <c r="BU58" s="10"/>
    </row>
    <row r="59" spans="1:73" s="6" customFormat="1" ht="21.75" customHeight="1" x14ac:dyDescent="0.25">
      <c r="A59" s="175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  <c r="AU59" s="10"/>
      <c r="AV59" s="10"/>
      <c r="AW59" s="10"/>
      <c r="AX59" s="10"/>
      <c r="AY59" s="10"/>
      <c r="AZ59" s="10"/>
      <c r="BA59" s="10"/>
      <c r="BB59" s="10"/>
      <c r="BC59" s="10"/>
      <c r="BD59" s="10"/>
      <c r="BE59" s="10"/>
      <c r="BF59" s="10"/>
      <c r="BG59" s="10"/>
      <c r="BH59" s="10"/>
      <c r="BI59" s="10"/>
      <c r="BJ59" s="10"/>
      <c r="BK59" s="10"/>
      <c r="BL59" s="10"/>
      <c r="BM59" s="10"/>
      <c r="BN59" s="10"/>
      <c r="BO59" s="10"/>
      <c r="BP59" s="10"/>
      <c r="BQ59" s="10"/>
      <c r="BR59" s="10"/>
      <c r="BS59" s="10"/>
      <c r="BT59" s="10"/>
      <c r="BU59" s="10"/>
    </row>
    <row r="60" spans="1:73" s="6" customFormat="1" ht="21.75" customHeight="1" x14ac:dyDescent="0.25">
      <c r="A60" s="175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  <c r="AU60" s="10"/>
      <c r="AV60" s="10"/>
      <c r="AW60" s="10"/>
      <c r="AX60" s="10"/>
      <c r="AY60" s="10"/>
      <c r="AZ60" s="10"/>
      <c r="BA60" s="10"/>
      <c r="BB60" s="10"/>
      <c r="BC60" s="10"/>
      <c r="BD60" s="10"/>
      <c r="BE60" s="10"/>
      <c r="BF60" s="10"/>
      <c r="BG60" s="10"/>
      <c r="BH60" s="10"/>
      <c r="BI60" s="10"/>
      <c r="BJ60" s="10"/>
      <c r="BK60" s="10"/>
      <c r="BL60" s="10"/>
      <c r="BM60" s="10"/>
      <c r="BN60" s="10"/>
      <c r="BO60" s="10"/>
      <c r="BP60" s="10"/>
      <c r="BQ60" s="10"/>
      <c r="BR60" s="10"/>
      <c r="BS60" s="10"/>
      <c r="BT60" s="10"/>
      <c r="BU60" s="10"/>
    </row>
    <row r="61" spans="1:73" s="6" customFormat="1" ht="21.75" customHeight="1" x14ac:dyDescent="0.25">
      <c r="A61" s="175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  <c r="AU61" s="10"/>
      <c r="AV61" s="10"/>
      <c r="AW61" s="10"/>
      <c r="AX61" s="10"/>
      <c r="AY61" s="10"/>
      <c r="AZ61" s="10"/>
      <c r="BA61" s="10"/>
      <c r="BB61" s="10"/>
      <c r="BC61" s="10"/>
      <c r="BD61" s="10"/>
      <c r="BE61" s="10"/>
      <c r="BF61" s="10"/>
      <c r="BG61" s="10"/>
      <c r="BH61" s="10"/>
      <c r="BI61" s="10"/>
      <c r="BJ61" s="10"/>
      <c r="BK61" s="10"/>
      <c r="BL61" s="10"/>
      <c r="BM61" s="10"/>
      <c r="BN61" s="10"/>
      <c r="BO61" s="10"/>
      <c r="BP61" s="10"/>
      <c r="BQ61" s="10"/>
      <c r="BR61" s="10"/>
      <c r="BS61" s="10"/>
      <c r="BT61" s="10"/>
      <c r="BU61" s="10"/>
    </row>
    <row r="62" spans="1:73" s="6" customFormat="1" ht="21.75" customHeight="1" x14ac:dyDescent="0.25">
      <c r="A62" s="175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  <c r="AU62" s="10"/>
      <c r="AV62" s="10"/>
      <c r="AW62" s="10"/>
      <c r="AX62" s="10"/>
      <c r="AY62" s="10"/>
      <c r="AZ62" s="10"/>
      <c r="BA62" s="10"/>
      <c r="BB62" s="10"/>
      <c r="BC62" s="10"/>
      <c r="BD62" s="10"/>
      <c r="BE62" s="10"/>
      <c r="BF62" s="10"/>
      <c r="BG62" s="10"/>
      <c r="BH62" s="10"/>
      <c r="BI62" s="10"/>
      <c r="BJ62" s="10"/>
      <c r="BK62" s="10"/>
      <c r="BL62" s="10"/>
      <c r="BM62" s="10"/>
      <c r="BN62" s="10"/>
      <c r="BO62" s="10"/>
      <c r="BP62" s="10"/>
      <c r="BQ62" s="10"/>
      <c r="BR62" s="10"/>
      <c r="BS62" s="10"/>
      <c r="BT62" s="10"/>
      <c r="BU62" s="10"/>
    </row>
    <row r="63" spans="1:73" s="6" customFormat="1" ht="21.75" customHeight="1" x14ac:dyDescent="0.25">
      <c r="A63" s="175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  <c r="AU63" s="10"/>
      <c r="AV63" s="10"/>
      <c r="AW63" s="10"/>
      <c r="AX63" s="10"/>
      <c r="AY63" s="10"/>
      <c r="AZ63" s="10"/>
      <c r="BA63" s="10"/>
      <c r="BB63" s="10"/>
      <c r="BC63" s="10"/>
      <c r="BD63" s="10"/>
      <c r="BE63" s="10"/>
      <c r="BF63" s="10"/>
      <c r="BG63" s="10"/>
      <c r="BH63" s="10"/>
      <c r="BI63" s="10"/>
      <c r="BJ63" s="10"/>
      <c r="BK63" s="10"/>
      <c r="BL63" s="10"/>
      <c r="BM63" s="10"/>
      <c r="BN63" s="10"/>
      <c r="BO63" s="10"/>
      <c r="BP63" s="10"/>
      <c r="BQ63" s="10"/>
      <c r="BR63" s="10"/>
      <c r="BS63" s="10"/>
      <c r="BT63" s="10"/>
      <c r="BU63" s="10"/>
    </row>
    <row r="64" spans="1:73" s="6" customFormat="1" ht="21.75" customHeight="1" x14ac:dyDescent="0.25">
      <c r="A64" s="175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  <c r="AU64" s="10"/>
      <c r="AV64" s="10"/>
      <c r="AW64" s="10"/>
      <c r="AX64" s="10"/>
      <c r="AY64" s="10"/>
      <c r="AZ64" s="10"/>
      <c r="BA64" s="10"/>
      <c r="BB64" s="10"/>
      <c r="BC64" s="10"/>
      <c r="BD64" s="10"/>
      <c r="BE64" s="10"/>
      <c r="BF64" s="10"/>
      <c r="BG64" s="10"/>
      <c r="BH64" s="10"/>
      <c r="BI64" s="10"/>
      <c r="BJ64" s="10"/>
      <c r="BK64" s="10"/>
      <c r="BL64" s="10"/>
      <c r="BM64" s="10"/>
      <c r="BN64" s="10"/>
      <c r="BO64" s="10"/>
      <c r="BP64" s="10"/>
      <c r="BQ64" s="10"/>
      <c r="BR64" s="10"/>
      <c r="BS64" s="10"/>
      <c r="BT64" s="10"/>
      <c r="BU64" s="10"/>
    </row>
    <row r="65" spans="1:73" s="6" customFormat="1" ht="21.75" customHeight="1" x14ac:dyDescent="0.25">
      <c r="A65" s="175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  <c r="AU65" s="10"/>
      <c r="AV65" s="10"/>
      <c r="AW65" s="10"/>
      <c r="AX65" s="10"/>
      <c r="AY65" s="10"/>
      <c r="AZ65" s="10"/>
      <c r="BA65" s="10"/>
      <c r="BB65" s="10"/>
      <c r="BC65" s="10"/>
      <c r="BD65" s="10"/>
      <c r="BE65" s="10"/>
      <c r="BF65" s="10"/>
      <c r="BG65" s="10"/>
      <c r="BH65" s="10"/>
      <c r="BI65" s="10"/>
      <c r="BJ65" s="10"/>
      <c r="BK65" s="10"/>
      <c r="BL65" s="10"/>
      <c r="BM65" s="10"/>
      <c r="BN65" s="10"/>
      <c r="BO65" s="10"/>
      <c r="BP65" s="10"/>
      <c r="BQ65" s="10"/>
      <c r="BR65" s="10"/>
      <c r="BS65" s="10"/>
      <c r="BT65" s="10"/>
      <c r="BU65" s="10"/>
    </row>
    <row r="66" spans="1:73" s="6" customFormat="1" ht="21.75" customHeight="1" x14ac:dyDescent="0.25">
      <c r="A66" s="175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  <c r="AU66" s="10"/>
      <c r="AV66" s="10"/>
      <c r="AW66" s="10"/>
      <c r="AX66" s="10"/>
      <c r="AY66" s="10"/>
      <c r="AZ66" s="10"/>
      <c r="BA66" s="10"/>
      <c r="BB66" s="10"/>
      <c r="BC66" s="10"/>
      <c r="BD66" s="10"/>
      <c r="BE66" s="10"/>
      <c r="BF66" s="10"/>
      <c r="BG66" s="10"/>
      <c r="BH66" s="10"/>
      <c r="BI66" s="10"/>
      <c r="BJ66" s="10"/>
      <c r="BK66" s="10"/>
      <c r="BL66" s="10"/>
      <c r="BM66" s="10"/>
      <c r="BN66" s="10"/>
      <c r="BO66" s="10"/>
      <c r="BP66" s="10"/>
      <c r="BQ66" s="10"/>
      <c r="BR66" s="10"/>
      <c r="BS66" s="10"/>
      <c r="BT66" s="10"/>
      <c r="BU66" s="10"/>
    </row>
    <row r="67" spans="1:73" s="6" customFormat="1" ht="21.75" customHeight="1" x14ac:dyDescent="0.25">
      <c r="A67" s="175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  <c r="AU67" s="10"/>
      <c r="AV67" s="10"/>
      <c r="AW67" s="10"/>
      <c r="AX67" s="10"/>
      <c r="AY67" s="10"/>
      <c r="AZ67" s="10"/>
      <c r="BA67" s="10"/>
      <c r="BB67" s="10"/>
      <c r="BC67" s="10"/>
      <c r="BD67" s="10"/>
      <c r="BE67" s="10"/>
      <c r="BF67" s="10"/>
      <c r="BG67" s="10"/>
      <c r="BH67" s="10"/>
      <c r="BI67" s="10"/>
      <c r="BJ67" s="10"/>
      <c r="BK67" s="10"/>
      <c r="BL67" s="10"/>
      <c r="BM67" s="10"/>
      <c r="BN67" s="10"/>
      <c r="BO67" s="10"/>
      <c r="BP67" s="10"/>
      <c r="BQ67" s="10"/>
      <c r="BR67" s="10"/>
      <c r="BS67" s="10"/>
      <c r="BT67" s="10"/>
      <c r="BU67" s="10"/>
    </row>
    <row r="68" spans="1:73" s="6" customFormat="1" ht="21.75" customHeight="1" x14ac:dyDescent="0.25">
      <c r="A68" s="175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  <c r="AU68" s="10"/>
      <c r="AV68" s="10"/>
      <c r="AW68" s="10"/>
      <c r="AX68" s="10"/>
      <c r="AY68" s="10"/>
      <c r="AZ68" s="10"/>
      <c r="BA68" s="10"/>
      <c r="BB68" s="10"/>
      <c r="BC68" s="10"/>
      <c r="BD68" s="10"/>
      <c r="BE68" s="10"/>
      <c r="BF68" s="10"/>
      <c r="BG68" s="10"/>
      <c r="BH68" s="10"/>
      <c r="BI68" s="10"/>
      <c r="BJ68" s="10"/>
      <c r="BK68" s="10"/>
      <c r="BL68" s="10"/>
      <c r="BM68" s="10"/>
      <c r="BN68" s="10"/>
      <c r="BO68" s="10"/>
      <c r="BP68" s="10"/>
      <c r="BQ68" s="10"/>
      <c r="BR68" s="10"/>
      <c r="BS68" s="10"/>
      <c r="BT68" s="10"/>
      <c r="BU68" s="10"/>
    </row>
    <row r="69" spans="1:73" s="6" customFormat="1" ht="21.75" customHeight="1" x14ac:dyDescent="0.25">
      <c r="A69" s="175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  <c r="AU69" s="10"/>
      <c r="AV69" s="10"/>
      <c r="AW69" s="10"/>
      <c r="AX69" s="10"/>
      <c r="AY69" s="10"/>
      <c r="AZ69" s="10"/>
      <c r="BA69" s="10"/>
      <c r="BB69" s="10"/>
      <c r="BC69" s="10"/>
      <c r="BD69" s="10"/>
      <c r="BE69" s="10"/>
      <c r="BF69" s="10"/>
      <c r="BG69" s="10"/>
      <c r="BH69" s="10"/>
      <c r="BI69" s="10"/>
      <c r="BJ69" s="10"/>
      <c r="BK69" s="10"/>
      <c r="BL69" s="10"/>
      <c r="BM69" s="10"/>
      <c r="BN69" s="10"/>
      <c r="BO69" s="10"/>
      <c r="BP69" s="10"/>
      <c r="BQ69" s="10"/>
      <c r="BR69" s="10"/>
      <c r="BS69" s="10"/>
      <c r="BT69" s="10"/>
      <c r="BU69" s="10"/>
    </row>
    <row r="70" spans="1:73" s="6" customFormat="1" ht="21.75" customHeight="1" x14ac:dyDescent="0.25">
      <c r="A70" s="175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  <c r="AU70" s="10"/>
      <c r="AV70" s="10"/>
      <c r="AW70" s="10"/>
      <c r="AX70" s="10"/>
      <c r="AY70" s="10"/>
      <c r="AZ70" s="10"/>
      <c r="BA70" s="10"/>
      <c r="BB70" s="10"/>
      <c r="BC70" s="10"/>
      <c r="BD70" s="10"/>
      <c r="BE70" s="10"/>
      <c r="BF70" s="10"/>
      <c r="BG70" s="10"/>
      <c r="BH70" s="10"/>
      <c r="BI70" s="10"/>
      <c r="BJ70" s="10"/>
      <c r="BK70" s="10"/>
      <c r="BL70" s="10"/>
      <c r="BM70" s="10"/>
      <c r="BN70" s="10"/>
      <c r="BO70" s="10"/>
      <c r="BP70" s="10"/>
      <c r="BQ70" s="10"/>
      <c r="BR70" s="10"/>
      <c r="BS70" s="10"/>
      <c r="BT70" s="10"/>
      <c r="BU70" s="10"/>
    </row>
    <row r="71" spans="1:73" s="6" customFormat="1" ht="21.75" customHeight="1" x14ac:dyDescent="0.25">
      <c r="A71" s="175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  <c r="AU71" s="10"/>
      <c r="AV71" s="10"/>
      <c r="AW71" s="10"/>
      <c r="AX71" s="10"/>
      <c r="AY71" s="10"/>
      <c r="AZ71" s="10"/>
      <c r="BA71" s="10"/>
      <c r="BB71" s="10"/>
      <c r="BC71" s="10"/>
      <c r="BD71" s="10"/>
      <c r="BE71" s="10"/>
      <c r="BF71" s="10"/>
      <c r="BG71" s="10"/>
      <c r="BH71" s="10"/>
      <c r="BI71" s="10"/>
      <c r="BJ71" s="10"/>
      <c r="BK71" s="10"/>
      <c r="BL71" s="10"/>
      <c r="BM71" s="10"/>
      <c r="BN71" s="10"/>
      <c r="BO71" s="10"/>
      <c r="BP71" s="10"/>
      <c r="BQ71" s="10"/>
      <c r="BR71" s="10"/>
      <c r="BS71" s="10"/>
      <c r="BT71" s="10"/>
      <c r="BU71" s="10"/>
    </row>
    <row r="72" spans="1:73" s="6" customFormat="1" ht="21.75" customHeight="1" x14ac:dyDescent="0.25">
      <c r="A72" s="175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  <c r="AU72" s="10"/>
      <c r="AV72" s="10"/>
      <c r="AW72" s="10"/>
      <c r="AX72" s="10"/>
      <c r="AY72" s="10"/>
      <c r="AZ72" s="10"/>
      <c r="BA72" s="10"/>
      <c r="BB72" s="10"/>
      <c r="BC72" s="10"/>
      <c r="BD72" s="10"/>
      <c r="BE72" s="10"/>
      <c r="BF72" s="10"/>
      <c r="BG72" s="10"/>
      <c r="BH72" s="10"/>
      <c r="BI72" s="10"/>
      <c r="BJ72" s="10"/>
      <c r="BK72" s="10"/>
      <c r="BL72" s="10"/>
      <c r="BM72" s="10"/>
      <c r="BN72" s="10"/>
      <c r="BO72" s="10"/>
      <c r="BP72" s="10"/>
      <c r="BQ72" s="10"/>
      <c r="BR72" s="10"/>
      <c r="BS72" s="10"/>
      <c r="BT72" s="10"/>
      <c r="BU72" s="10"/>
    </row>
    <row r="73" spans="1:73" s="6" customFormat="1" ht="21.75" customHeight="1" x14ac:dyDescent="0.25">
      <c r="A73" s="175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  <c r="AU73" s="10"/>
      <c r="AV73" s="10"/>
      <c r="AW73" s="10"/>
      <c r="AX73" s="10"/>
      <c r="AY73" s="10"/>
      <c r="AZ73" s="10"/>
      <c r="BA73" s="10"/>
      <c r="BB73" s="10"/>
      <c r="BC73" s="10"/>
      <c r="BD73" s="10"/>
      <c r="BE73" s="10"/>
      <c r="BF73" s="10"/>
      <c r="BG73" s="10"/>
      <c r="BH73" s="10"/>
      <c r="BI73" s="10"/>
      <c r="BJ73" s="10"/>
      <c r="BK73" s="10"/>
      <c r="BL73" s="10"/>
      <c r="BM73" s="10"/>
      <c r="BN73" s="10"/>
      <c r="BO73" s="10"/>
      <c r="BP73" s="10"/>
      <c r="BQ73" s="10"/>
      <c r="BR73" s="10"/>
      <c r="BS73" s="10"/>
      <c r="BT73" s="10"/>
      <c r="BU73" s="10"/>
    </row>
  </sheetData>
  <mergeCells count="206">
    <mergeCell ref="A42:A43"/>
    <mergeCell ref="B41:J41"/>
    <mergeCell ref="F40:J40"/>
    <mergeCell ref="B42:J43"/>
    <mergeCell ref="Z42:Z43"/>
    <mergeCell ref="K2:K43"/>
    <mergeCell ref="C19:C21"/>
    <mergeCell ref="D19:D21"/>
    <mergeCell ref="E19:E21"/>
    <mergeCell ref="F19:F21"/>
    <mergeCell ref="G19:G21"/>
    <mergeCell ref="H19:H21"/>
    <mergeCell ref="I19:I21"/>
    <mergeCell ref="L13:L14"/>
    <mergeCell ref="N13:N14"/>
    <mergeCell ref="M13:M14"/>
    <mergeCell ref="Z13:Z14"/>
    <mergeCell ref="F13:F14"/>
    <mergeCell ref="G13:G14"/>
    <mergeCell ref="H13:H14"/>
    <mergeCell ref="I13:I14"/>
    <mergeCell ref="J13:J14"/>
    <mergeCell ref="A13:A14"/>
    <mergeCell ref="B13:B14"/>
    <mergeCell ref="C13:C14"/>
    <mergeCell ref="D13:D14"/>
    <mergeCell ref="E13:E14"/>
    <mergeCell ref="Z33:Z35"/>
    <mergeCell ref="Y37:Y38"/>
    <mergeCell ref="A37:A38"/>
    <mergeCell ref="N37:N38"/>
    <mergeCell ref="B37:B38"/>
    <mergeCell ref="C37:C38"/>
    <mergeCell ref="D37:D38"/>
    <mergeCell ref="E37:E38"/>
    <mergeCell ref="F37:F38"/>
    <mergeCell ref="G37:G38"/>
    <mergeCell ref="H37:H38"/>
    <mergeCell ref="I37:I38"/>
    <mergeCell ref="J37:J38"/>
    <mergeCell ref="L37:L38"/>
    <mergeCell ref="M37:M38"/>
    <mergeCell ref="Z37:Z38"/>
    <mergeCell ref="Y33:Y34"/>
    <mergeCell ref="B33:B35"/>
    <mergeCell ref="C33:C35"/>
    <mergeCell ref="D33:D35"/>
    <mergeCell ref="E33:E35"/>
    <mergeCell ref="F33:F35"/>
    <mergeCell ref="G33:G35"/>
    <mergeCell ref="H33:H35"/>
    <mergeCell ref="I33:I35"/>
    <mergeCell ref="J33:J35"/>
    <mergeCell ref="L33:L35"/>
    <mergeCell ref="N33:N35"/>
    <mergeCell ref="M33:M35"/>
    <mergeCell ref="A33:A35"/>
    <mergeCell ref="Y31:Y32"/>
    <mergeCell ref="Z30:Z32"/>
    <mergeCell ref="Z26:Z27"/>
    <mergeCell ref="Z28:Z29"/>
    <mergeCell ref="A30:A32"/>
    <mergeCell ref="B30:B32"/>
    <mergeCell ref="C30:C32"/>
    <mergeCell ref="D30:D32"/>
    <mergeCell ref="E30:E32"/>
    <mergeCell ref="F30:F32"/>
    <mergeCell ref="G30:G32"/>
    <mergeCell ref="H30:H32"/>
    <mergeCell ref="I30:I32"/>
    <mergeCell ref="J30:J32"/>
    <mergeCell ref="L30:L32"/>
    <mergeCell ref="N30:N32"/>
    <mergeCell ref="M30:M32"/>
    <mergeCell ref="L26:L27"/>
    <mergeCell ref="L28:L29"/>
    <mergeCell ref="G26:G27"/>
    <mergeCell ref="G28:G29"/>
    <mergeCell ref="C26:C27"/>
    <mergeCell ref="C28:C29"/>
    <mergeCell ref="D26:D27"/>
    <mergeCell ref="Z15:Z16"/>
    <mergeCell ref="Y20:Y21"/>
    <mergeCell ref="Z19:Z21"/>
    <mergeCell ref="Z22:Z23"/>
    <mergeCell ref="Y3:Y4"/>
    <mergeCell ref="Z2:Z4"/>
    <mergeCell ref="Z5:Z6"/>
    <mergeCell ref="Y8:Y9"/>
    <mergeCell ref="Z8:Z9"/>
    <mergeCell ref="Y10:Y11"/>
    <mergeCell ref="Z10:Z11"/>
    <mergeCell ref="N26:N27"/>
    <mergeCell ref="N28:N29"/>
    <mergeCell ref="I24:I25"/>
    <mergeCell ref="I26:I27"/>
    <mergeCell ref="I28:I29"/>
    <mergeCell ref="J24:J25"/>
    <mergeCell ref="J26:J27"/>
    <mergeCell ref="J28:J29"/>
    <mergeCell ref="Y15:Y16"/>
    <mergeCell ref="N22:N23"/>
    <mergeCell ref="J15:J16"/>
    <mergeCell ref="L15:L16"/>
    <mergeCell ref="N15:N16"/>
    <mergeCell ref="M15:M16"/>
    <mergeCell ref="D28:D29"/>
    <mergeCell ref="A24:A25"/>
    <mergeCell ref="A26:A27"/>
    <mergeCell ref="A28:A29"/>
    <mergeCell ref="B24:B25"/>
    <mergeCell ref="B26:B27"/>
    <mergeCell ref="B28:B29"/>
    <mergeCell ref="J22:J23"/>
    <mergeCell ref="L22:L23"/>
    <mergeCell ref="H24:H25"/>
    <mergeCell ref="H28:H29"/>
    <mergeCell ref="H26:H27"/>
    <mergeCell ref="E28:E29"/>
    <mergeCell ref="F28:F29"/>
    <mergeCell ref="F26:F27"/>
    <mergeCell ref="E26:E27"/>
    <mergeCell ref="E24:E25"/>
    <mergeCell ref="F24:F25"/>
    <mergeCell ref="Z24:Z25"/>
    <mergeCell ref="A19:A21"/>
    <mergeCell ref="B20:B21"/>
    <mergeCell ref="L20:L21"/>
    <mergeCell ref="N20:N21"/>
    <mergeCell ref="J19:J21"/>
    <mergeCell ref="Y22:Y23"/>
    <mergeCell ref="A22:A23"/>
    <mergeCell ref="B22:B23"/>
    <mergeCell ref="C22:C23"/>
    <mergeCell ref="D22:D23"/>
    <mergeCell ref="E22:E23"/>
    <mergeCell ref="F22:F23"/>
    <mergeCell ref="G22:G23"/>
    <mergeCell ref="H22:H23"/>
    <mergeCell ref="I22:I23"/>
    <mergeCell ref="C24:C25"/>
    <mergeCell ref="D24:D25"/>
    <mergeCell ref="G24:G25"/>
    <mergeCell ref="L24:L25"/>
    <mergeCell ref="N24:N25"/>
    <mergeCell ref="A15:A16"/>
    <mergeCell ref="B15:B16"/>
    <mergeCell ref="C15:C16"/>
    <mergeCell ref="D15:D16"/>
    <mergeCell ref="E15:E16"/>
    <mergeCell ref="F15:F16"/>
    <mergeCell ref="G15:G16"/>
    <mergeCell ref="H15:H16"/>
    <mergeCell ref="I15:I16"/>
    <mergeCell ref="N8:N9"/>
    <mergeCell ref="N10:N11"/>
    <mergeCell ref="M8:M9"/>
    <mergeCell ref="M10:M11"/>
    <mergeCell ref="M5:M6"/>
    <mergeCell ref="N5:N6"/>
    <mergeCell ref="J5:J6"/>
    <mergeCell ref="L5:L6"/>
    <mergeCell ref="I10:I11"/>
    <mergeCell ref="J10:J11"/>
    <mergeCell ref="I8:I9"/>
    <mergeCell ref="J8:J9"/>
    <mergeCell ref="L8:L9"/>
    <mergeCell ref="L10:L11"/>
    <mergeCell ref="F10:F11"/>
    <mergeCell ref="G8:G9"/>
    <mergeCell ref="G10:G11"/>
    <mergeCell ref="H8:H9"/>
    <mergeCell ref="H10:H11"/>
    <mergeCell ref="A10:A11"/>
    <mergeCell ref="A8:A9"/>
    <mergeCell ref="B8:B9"/>
    <mergeCell ref="B10:B11"/>
    <mergeCell ref="C10:C11"/>
    <mergeCell ref="C8:C9"/>
    <mergeCell ref="D8:D9"/>
    <mergeCell ref="E8:E9"/>
    <mergeCell ref="F8:F9"/>
    <mergeCell ref="D10:D11"/>
    <mergeCell ref="E10:E11"/>
    <mergeCell ref="A5:A6"/>
    <mergeCell ref="B5:B6"/>
    <mergeCell ref="C5:C6"/>
    <mergeCell ref="D5:D6"/>
    <mergeCell ref="E5:E6"/>
    <mergeCell ref="F5:F6"/>
    <mergeCell ref="G5:G6"/>
    <mergeCell ref="H5:H6"/>
    <mergeCell ref="I5:I6"/>
    <mergeCell ref="J2:J4"/>
    <mergeCell ref="L2:L4"/>
    <mergeCell ref="M2:M4"/>
    <mergeCell ref="N2:N4"/>
    <mergeCell ref="A2:A4"/>
    <mergeCell ref="B2:B4"/>
    <mergeCell ref="C2:C4"/>
    <mergeCell ref="D2:D4"/>
    <mergeCell ref="E2:E4"/>
    <mergeCell ref="F2:F4"/>
    <mergeCell ref="G2:G4"/>
    <mergeCell ref="H2:H4"/>
    <mergeCell ref="I2:I4"/>
  </mergeCells>
  <conditionalFormatting sqref="Y7">
    <cfRule type="cellIs" dxfId="21" priority="1" operator="greaterThan">
      <formula>$N$7</formula>
    </cfRule>
  </conditionalFormatting>
  <pageMargins left="0.7" right="0.7" top="0.75" bottom="0.75" header="0.3" footer="0.3"/>
  <pageSetup paperSize="9" orientation="portrait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7C6FDB-45F2-4EE4-8D9F-6C8487FDB657}">
  <dimension ref="B2:P20"/>
  <sheetViews>
    <sheetView workbookViewId="0">
      <selection activeCell="K10" sqref="K10"/>
    </sheetView>
  </sheetViews>
  <sheetFormatPr defaultRowHeight="15" x14ac:dyDescent="0.25"/>
  <cols>
    <col min="2" max="2" width="5.42578125" bestFit="1" customWidth="1"/>
    <col min="11" max="11" width="10.42578125" customWidth="1"/>
    <col min="12" max="12" width="12.42578125" customWidth="1"/>
    <col min="15" max="15" width="14" customWidth="1"/>
  </cols>
  <sheetData>
    <row r="2" spans="2:16" ht="30" x14ac:dyDescent="0.25">
      <c r="B2" s="260" t="s">
        <v>171</v>
      </c>
      <c r="C2" s="260" t="s">
        <v>166</v>
      </c>
      <c r="D2" s="260" t="s">
        <v>1</v>
      </c>
      <c r="E2" s="260" t="s">
        <v>275</v>
      </c>
      <c r="F2" s="260" t="s">
        <v>187</v>
      </c>
      <c r="G2" s="260" t="s">
        <v>277</v>
      </c>
      <c r="I2" s="345" t="s">
        <v>142</v>
      </c>
      <c r="J2" s="345"/>
      <c r="K2" s="260" t="s">
        <v>278</v>
      </c>
      <c r="L2" s="260" t="s">
        <v>279</v>
      </c>
      <c r="N2" s="368" t="s">
        <v>280</v>
      </c>
      <c r="O2" s="368"/>
      <c r="P2" s="368"/>
    </row>
    <row r="3" spans="2:16" x14ac:dyDescent="0.25">
      <c r="B3" s="259">
        <f>'Dimensionamento dos Cabos'!B4</f>
        <v>1</v>
      </c>
      <c r="C3" s="259">
        <f>'Dimensionamento dos Cabos'!H4</f>
        <v>1.5</v>
      </c>
      <c r="D3" s="259">
        <v>210</v>
      </c>
      <c r="E3" s="259" t="s">
        <v>276</v>
      </c>
      <c r="F3" s="259">
        <v>3</v>
      </c>
      <c r="G3" s="259">
        <f>D3*F3</f>
        <v>630</v>
      </c>
      <c r="I3" s="238">
        <v>1.5</v>
      </c>
      <c r="J3" s="238">
        <f>SUM(G3,G17,G18)</f>
        <v>1155</v>
      </c>
      <c r="K3" s="8">
        <v>50</v>
      </c>
      <c r="L3" s="8">
        <f>J3/K3</f>
        <v>23.1</v>
      </c>
      <c r="N3" s="262" t="s">
        <v>166</v>
      </c>
      <c r="O3" s="262" t="s">
        <v>1</v>
      </c>
      <c r="P3" s="262" t="s">
        <v>277</v>
      </c>
    </row>
    <row r="4" spans="2:16" x14ac:dyDescent="0.25">
      <c r="B4" s="260">
        <f>'Dimensionamento dos Cabos'!B5</f>
        <v>2</v>
      </c>
      <c r="C4" s="260">
        <f>'Dimensionamento dos Cabos'!H5</f>
        <v>2.5</v>
      </c>
      <c r="D4" s="260">
        <v>60</v>
      </c>
      <c r="E4" s="260" t="s">
        <v>276</v>
      </c>
      <c r="F4" s="260">
        <v>3</v>
      </c>
      <c r="G4" s="260">
        <f t="shared" ref="G4:G19" si="0">D4*F4</f>
        <v>180</v>
      </c>
      <c r="I4" s="240">
        <v>2.5</v>
      </c>
      <c r="J4" s="240">
        <f>SUM(G4,G5,G6,G9,G10,G13,G14,G19)</f>
        <v>669</v>
      </c>
      <c r="K4" s="132">
        <v>50</v>
      </c>
      <c r="L4" s="132">
        <f t="shared" ref="L4:L6" si="1">J4/K4</f>
        <v>13.38</v>
      </c>
      <c r="N4" s="263" t="s">
        <v>281</v>
      </c>
      <c r="O4" s="263">
        <v>415</v>
      </c>
      <c r="P4" s="263">
        <f>O4/50</f>
        <v>8.3000000000000007</v>
      </c>
    </row>
    <row r="5" spans="2:16" x14ac:dyDescent="0.25">
      <c r="B5" s="259">
        <f>'Dimensionamento dos Cabos'!B6</f>
        <v>3</v>
      </c>
      <c r="C5" s="259">
        <f>'Dimensionamento dos Cabos'!H6</f>
        <v>2.5</v>
      </c>
      <c r="D5" s="259">
        <v>16</v>
      </c>
      <c r="E5" s="259" t="s">
        <v>276</v>
      </c>
      <c r="F5" s="259">
        <v>3</v>
      </c>
      <c r="G5" s="259">
        <f t="shared" si="0"/>
        <v>48</v>
      </c>
      <c r="I5" s="239">
        <v>4</v>
      </c>
      <c r="J5" s="239">
        <f>SUM(G7,G20)</f>
        <v>168</v>
      </c>
      <c r="K5" s="8">
        <v>100</v>
      </c>
      <c r="L5" s="8">
        <f t="shared" si="1"/>
        <v>1.68</v>
      </c>
      <c r="N5" s="262" t="s">
        <v>284</v>
      </c>
      <c r="O5" s="262">
        <v>20</v>
      </c>
      <c r="P5" s="262">
        <f>O5/100</f>
        <v>0.2</v>
      </c>
    </row>
    <row r="6" spans="2:16" x14ac:dyDescent="0.25">
      <c r="B6" s="260">
        <f>'Dimensionamento dos Cabos'!B7</f>
        <v>4</v>
      </c>
      <c r="C6" s="260">
        <f>'Dimensionamento dos Cabos'!H7</f>
        <v>2.5</v>
      </c>
      <c r="D6" s="260">
        <v>12</v>
      </c>
      <c r="E6" s="260" t="s">
        <v>276</v>
      </c>
      <c r="F6" s="260">
        <v>3</v>
      </c>
      <c r="G6" s="260">
        <f t="shared" si="0"/>
        <v>36</v>
      </c>
      <c r="I6" s="240">
        <v>10</v>
      </c>
      <c r="J6" s="240">
        <f>SUM(G8,G11,G12,G15,G16)</f>
        <v>99.9</v>
      </c>
      <c r="K6" s="132">
        <v>100</v>
      </c>
      <c r="L6" s="132">
        <f t="shared" si="1"/>
        <v>0.99900000000000011</v>
      </c>
    </row>
    <row r="7" spans="2:16" x14ac:dyDescent="0.25">
      <c r="B7" s="259">
        <f>'Dimensionamento dos Cabos'!B8</f>
        <v>5</v>
      </c>
      <c r="C7" s="259">
        <f>'Dimensionamento dos Cabos'!H8</f>
        <v>4</v>
      </c>
      <c r="D7" s="259">
        <v>53</v>
      </c>
      <c r="E7" s="259" t="s">
        <v>276</v>
      </c>
      <c r="F7" s="259">
        <v>3</v>
      </c>
      <c r="G7" s="259">
        <f t="shared" si="0"/>
        <v>159</v>
      </c>
    </row>
    <row r="8" spans="2:16" x14ac:dyDescent="0.25">
      <c r="B8" s="260">
        <f>'Dimensionamento dos Cabos'!B9</f>
        <v>6</v>
      </c>
      <c r="C8" s="260">
        <f>'Dimensionamento dos Cabos'!H9</f>
        <v>10</v>
      </c>
      <c r="D8" s="260">
        <v>8</v>
      </c>
      <c r="E8" s="260" t="s">
        <v>276</v>
      </c>
      <c r="F8" s="260">
        <v>3</v>
      </c>
      <c r="G8" s="260">
        <f t="shared" si="0"/>
        <v>24</v>
      </c>
    </row>
    <row r="9" spans="2:16" x14ac:dyDescent="0.25">
      <c r="B9" s="259">
        <f>'Dimensionamento dos Cabos'!B10</f>
        <v>7</v>
      </c>
      <c r="C9" s="259">
        <f>'Dimensionamento dos Cabos'!H10</f>
        <v>2.5</v>
      </c>
      <c r="D9" s="259">
        <v>40</v>
      </c>
      <c r="E9" s="259" t="s">
        <v>276</v>
      </c>
      <c r="F9" s="259">
        <v>3</v>
      </c>
      <c r="G9" s="259">
        <f t="shared" si="0"/>
        <v>120</v>
      </c>
    </row>
    <row r="10" spans="2:16" x14ac:dyDescent="0.25">
      <c r="B10" s="260">
        <f>'Dimensionamento dos Cabos'!B11</f>
        <v>8</v>
      </c>
      <c r="C10" s="260">
        <f>'Dimensionamento dos Cabos'!H11</f>
        <v>2.5</v>
      </c>
      <c r="D10" s="260">
        <v>55</v>
      </c>
      <c r="E10" s="260" t="s">
        <v>276</v>
      </c>
      <c r="F10" s="260">
        <v>3</v>
      </c>
      <c r="G10" s="260">
        <f t="shared" si="0"/>
        <v>165</v>
      </c>
    </row>
    <row r="11" spans="2:16" x14ac:dyDescent="0.25">
      <c r="B11" s="259">
        <f>'Dimensionamento dos Cabos'!B12</f>
        <v>9</v>
      </c>
      <c r="C11" s="259">
        <f>'Dimensionamento dos Cabos'!H12</f>
        <v>10</v>
      </c>
      <c r="D11" s="259">
        <v>3.8</v>
      </c>
      <c r="E11" s="259" t="s">
        <v>276</v>
      </c>
      <c r="F11" s="259">
        <v>3</v>
      </c>
      <c r="G11" s="259">
        <f t="shared" si="0"/>
        <v>11.399999999999999</v>
      </c>
    </row>
    <row r="12" spans="2:16" x14ac:dyDescent="0.25">
      <c r="B12" s="260">
        <f>'Dimensionamento dos Cabos'!B13</f>
        <v>10</v>
      </c>
      <c r="C12" s="260">
        <f>'Dimensionamento dos Cabos'!H13</f>
        <v>10</v>
      </c>
      <c r="D12" s="260">
        <v>5.5</v>
      </c>
      <c r="E12" s="260" t="s">
        <v>276</v>
      </c>
      <c r="F12" s="260">
        <v>3</v>
      </c>
      <c r="G12" s="260">
        <f t="shared" si="0"/>
        <v>16.5</v>
      </c>
    </row>
    <row r="13" spans="2:16" x14ac:dyDescent="0.25">
      <c r="B13" s="259">
        <f>'Dimensionamento dos Cabos'!B14</f>
        <v>11</v>
      </c>
      <c r="C13" s="259">
        <f>'Dimensionamento dos Cabos'!H14</f>
        <v>2.5</v>
      </c>
      <c r="D13" s="259">
        <v>26</v>
      </c>
      <c r="E13" s="259" t="s">
        <v>276</v>
      </c>
      <c r="F13" s="259">
        <v>3</v>
      </c>
      <c r="G13" s="259">
        <f t="shared" si="0"/>
        <v>78</v>
      </c>
    </row>
    <row r="14" spans="2:16" x14ac:dyDescent="0.25">
      <c r="B14" s="260">
        <f>'Dimensionamento dos Cabos'!B15</f>
        <v>12</v>
      </c>
      <c r="C14" s="260">
        <f>'Dimensionamento dos Cabos'!H15</f>
        <v>2.5</v>
      </c>
      <c r="D14" s="260">
        <v>7</v>
      </c>
      <c r="E14" s="260" t="s">
        <v>276</v>
      </c>
      <c r="F14" s="260">
        <v>3</v>
      </c>
      <c r="G14" s="260">
        <f t="shared" si="0"/>
        <v>21</v>
      </c>
    </row>
    <row r="15" spans="2:16" x14ac:dyDescent="0.25">
      <c r="B15" s="259">
        <f>'Dimensionamento dos Cabos'!B16</f>
        <v>13</v>
      </c>
      <c r="C15" s="259">
        <f>'Dimensionamento dos Cabos'!H16</f>
        <v>10</v>
      </c>
      <c r="D15" s="259">
        <v>8</v>
      </c>
      <c r="E15" s="259" t="s">
        <v>276</v>
      </c>
      <c r="F15" s="259">
        <v>3</v>
      </c>
      <c r="G15" s="259">
        <f t="shared" si="0"/>
        <v>24</v>
      </c>
    </row>
    <row r="16" spans="2:16" x14ac:dyDescent="0.25">
      <c r="B16" s="260">
        <f>'Dimensionamento dos Cabos'!B17</f>
        <v>14</v>
      </c>
      <c r="C16" s="260">
        <f>'Dimensionamento dos Cabos'!H17</f>
        <v>10</v>
      </c>
      <c r="D16" s="260">
        <v>8</v>
      </c>
      <c r="E16" s="260" t="s">
        <v>276</v>
      </c>
      <c r="F16" s="260">
        <v>3</v>
      </c>
      <c r="G16" s="260">
        <f t="shared" si="0"/>
        <v>24</v>
      </c>
    </row>
    <row r="17" spans="2:7" x14ac:dyDescent="0.25">
      <c r="B17" s="259">
        <f>'Dimensionamento dos Cabos'!B18</f>
        <v>15</v>
      </c>
      <c r="C17" s="259">
        <f>'Dimensionamento dos Cabos'!H18</f>
        <v>1.5</v>
      </c>
      <c r="D17" s="259">
        <v>45</v>
      </c>
      <c r="E17" s="259" t="s">
        <v>276</v>
      </c>
      <c r="F17" s="259">
        <v>3</v>
      </c>
      <c r="G17" s="259">
        <f t="shared" si="0"/>
        <v>135</v>
      </c>
    </row>
    <row r="18" spans="2:7" x14ac:dyDescent="0.25">
      <c r="B18" s="260">
        <f>'Dimensionamento dos Cabos'!B19</f>
        <v>16</v>
      </c>
      <c r="C18" s="260">
        <f>'Dimensionamento dos Cabos'!H19</f>
        <v>1.5</v>
      </c>
      <c r="D18" s="260">
        <v>130</v>
      </c>
      <c r="E18" s="260" t="s">
        <v>276</v>
      </c>
      <c r="F18" s="260">
        <v>3</v>
      </c>
      <c r="G18" s="260">
        <f t="shared" si="0"/>
        <v>390</v>
      </c>
    </row>
    <row r="19" spans="2:7" x14ac:dyDescent="0.25">
      <c r="B19" s="259">
        <f>'Dimensionamento dos Cabos'!B20</f>
        <v>17</v>
      </c>
      <c r="C19" s="259">
        <f>'Dimensionamento dos Cabos'!H20</f>
        <v>2.5</v>
      </c>
      <c r="D19" s="259">
        <v>7</v>
      </c>
      <c r="E19" s="259" t="s">
        <v>276</v>
      </c>
      <c r="F19" s="259">
        <v>3</v>
      </c>
      <c r="G19" s="259">
        <f t="shared" si="0"/>
        <v>21</v>
      </c>
    </row>
    <row r="20" spans="2:7" x14ac:dyDescent="0.25">
      <c r="B20" s="260">
        <f>'Dimensionamento dos Cabos'!B21</f>
        <v>18</v>
      </c>
      <c r="C20" s="260">
        <f>'Dimensionamento dos Cabos'!H21</f>
        <v>4</v>
      </c>
      <c r="D20" s="260">
        <v>3</v>
      </c>
      <c r="E20" s="260" t="s">
        <v>276</v>
      </c>
      <c r="F20" s="260">
        <v>3</v>
      </c>
      <c r="G20" s="260">
        <f>D20*F20</f>
        <v>9</v>
      </c>
    </row>
  </sheetData>
  <mergeCells count="2">
    <mergeCell ref="I2:J2"/>
    <mergeCell ref="N2:P2"/>
  </mergeCells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FDCD08-C9AA-4614-842E-FF6DE5AA2DBF}">
  <dimension ref="A1:U34"/>
  <sheetViews>
    <sheetView showGridLines="0" topLeftCell="A22" zoomScale="90" zoomScaleNormal="90" workbookViewId="0">
      <selection activeCell="L34" sqref="L34"/>
    </sheetView>
  </sheetViews>
  <sheetFormatPr defaultRowHeight="15.75" x14ac:dyDescent="0.25"/>
  <cols>
    <col min="1" max="1" width="9.140625" style="65"/>
    <col min="2" max="2" width="26.140625" bestFit="1" customWidth="1"/>
    <col min="4" max="4" width="15" bestFit="1" customWidth="1"/>
    <col min="5" max="5" width="10.42578125" bestFit="1" customWidth="1"/>
    <col min="6" max="6" width="11.140625" bestFit="1" customWidth="1"/>
    <col min="7" max="7" width="39.7109375" customWidth="1"/>
    <col min="8" max="8" width="11" bestFit="1" customWidth="1"/>
    <col min="10" max="10" width="15.42578125" bestFit="1" customWidth="1"/>
    <col min="12" max="12" width="15.28515625" bestFit="1" customWidth="1"/>
  </cols>
  <sheetData>
    <row r="1" spans="1:21" s="372" customFormat="1" ht="30" customHeight="1" x14ac:dyDescent="0.2"/>
    <row r="2" spans="1:21" s="372" customFormat="1" ht="21.75" customHeight="1" x14ac:dyDescent="0.2"/>
    <row r="3" spans="1:21" s="2" customFormat="1" ht="21.75" customHeight="1" x14ac:dyDescent="0.25">
      <c r="A3" s="65"/>
      <c r="B3" s="82" t="s">
        <v>43</v>
      </c>
      <c r="C3" s="83" t="s">
        <v>2</v>
      </c>
      <c r="D3" s="83" t="s">
        <v>1</v>
      </c>
      <c r="E3" s="83" t="s">
        <v>3</v>
      </c>
      <c r="F3" s="83" t="s">
        <v>4</v>
      </c>
      <c r="G3" s="83" t="s">
        <v>68</v>
      </c>
      <c r="H3" s="83" t="s">
        <v>44</v>
      </c>
      <c r="I3" s="83" t="s">
        <v>45</v>
      </c>
      <c r="J3" s="84" t="s">
        <v>85</v>
      </c>
      <c r="K3" s="84" t="s">
        <v>46</v>
      </c>
      <c r="L3" s="84" t="s">
        <v>86</v>
      </c>
      <c r="M3" s="83" t="s">
        <v>47</v>
      </c>
      <c r="N3" s="12"/>
      <c r="O3" s="12"/>
      <c r="P3" s="12"/>
      <c r="Q3" s="12"/>
      <c r="R3" s="12"/>
      <c r="S3" s="12"/>
      <c r="T3" s="12"/>
      <c r="U3" s="12"/>
    </row>
    <row r="4" spans="1:21" s="2" customFormat="1" ht="60" x14ac:dyDescent="0.25">
      <c r="A4" s="65"/>
      <c r="B4" s="85" t="s">
        <v>20</v>
      </c>
      <c r="C4" s="86">
        <v>3.78</v>
      </c>
      <c r="D4" s="86">
        <v>3.4</v>
      </c>
      <c r="E4" s="86">
        <f>C4*D4</f>
        <v>12.851999999999999</v>
      </c>
      <c r="F4" s="86">
        <f>(C4+D4)*2</f>
        <v>14.36</v>
      </c>
      <c r="G4" s="87" t="s">
        <v>84</v>
      </c>
      <c r="H4" s="86" t="s">
        <v>48</v>
      </c>
      <c r="I4" s="86">
        <v>3</v>
      </c>
      <c r="J4" s="86">
        <v>100</v>
      </c>
      <c r="K4" s="86"/>
      <c r="L4" s="86"/>
      <c r="M4" s="88">
        <f>I4*J4+K4*L4</f>
        <v>300</v>
      </c>
      <c r="N4" s="12"/>
      <c r="O4" s="12"/>
      <c r="P4" s="12"/>
      <c r="Q4" s="12"/>
      <c r="R4" s="12"/>
      <c r="S4" s="12"/>
      <c r="T4" s="12"/>
      <c r="U4" s="12"/>
    </row>
    <row r="5" spans="1:21" s="2" customFormat="1" ht="45" x14ac:dyDescent="0.25">
      <c r="A5" s="65"/>
      <c r="B5" s="89" t="s">
        <v>23</v>
      </c>
      <c r="C5" s="80">
        <v>2.65</v>
      </c>
      <c r="D5" s="80">
        <v>1.4</v>
      </c>
      <c r="E5" s="80">
        <f t="shared" ref="E5:E26" si="0">C5*D5</f>
        <v>3.7099999999999995</v>
      </c>
      <c r="F5" s="80">
        <f t="shared" ref="F5:F26" si="1">(C5+D5)*2</f>
        <v>8.1</v>
      </c>
      <c r="G5" s="90" t="s">
        <v>87</v>
      </c>
      <c r="H5" s="80" t="s">
        <v>48</v>
      </c>
      <c r="I5" s="80">
        <v>1</v>
      </c>
      <c r="J5" s="80">
        <v>600</v>
      </c>
      <c r="K5" s="80"/>
      <c r="L5" s="80"/>
      <c r="M5" s="91">
        <f t="shared" ref="M5:M20" si="2">I5*J5+K5*L5</f>
        <v>600</v>
      </c>
      <c r="N5" s="12"/>
      <c r="O5" s="12"/>
      <c r="P5" s="12"/>
      <c r="Q5" s="12"/>
      <c r="R5" s="12"/>
      <c r="S5" s="12"/>
      <c r="T5" s="12"/>
      <c r="U5" s="12"/>
    </row>
    <row r="6" spans="1:21" s="2" customFormat="1" ht="45" x14ac:dyDescent="0.25">
      <c r="A6" s="65"/>
      <c r="B6" s="85" t="s">
        <v>24</v>
      </c>
      <c r="C6" s="86">
        <v>1.6</v>
      </c>
      <c r="D6" s="86">
        <v>1.4</v>
      </c>
      <c r="E6" s="86">
        <f t="shared" si="0"/>
        <v>2.2399999999999998</v>
      </c>
      <c r="F6" s="86">
        <f t="shared" si="1"/>
        <v>6</v>
      </c>
      <c r="G6" s="87" t="s">
        <v>87</v>
      </c>
      <c r="H6" s="86" t="s">
        <v>48</v>
      </c>
      <c r="I6" s="86">
        <v>1</v>
      </c>
      <c r="J6" s="86">
        <v>600</v>
      </c>
      <c r="K6" s="86"/>
      <c r="L6" s="86"/>
      <c r="M6" s="92">
        <f t="shared" si="2"/>
        <v>600</v>
      </c>
      <c r="N6" s="12"/>
      <c r="O6" s="12"/>
      <c r="P6" s="12"/>
      <c r="Q6" s="12"/>
      <c r="R6" s="12"/>
      <c r="S6" s="12"/>
      <c r="T6" s="12"/>
      <c r="U6" s="12"/>
    </row>
    <row r="7" spans="1:21" s="2" customFormat="1" ht="30" x14ac:dyDescent="0.25">
      <c r="A7" s="65"/>
      <c r="B7" s="89" t="s">
        <v>25</v>
      </c>
      <c r="C7" s="80">
        <v>5.7</v>
      </c>
      <c r="D7" s="80">
        <v>1.55</v>
      </c>
      <c r="E7" s="80">
        <f t="shared" si="0"/>
        <v>8.8350000000000009</v>
      </c>
      <c r="F7" s="80">
        <f t="shared" si="1"/>
        <v>14.5</v>
      </c>
      <c r="G7" s="90" t="s">
        <v>88</v>
      </c>
      <c r="H7" s="80" t="s">
        <v>48</v>
      </c>
      <c r="I7" s="80">
        <v>3</v>
      </c>
      <c r="J7" s="80">
        <v>100</v>
      </c>
      <c r="K7" s="80"/>
      <c r="L7" s="80"/>
      <c r="M7" s="91">
        <f t="shared" si="2"/>
        <v>300</v>
      </c>
      <c r="N7" s="12"/>
      <c r="O7" s="12"/>
      <c r="P7" s="12"/>
      <c r="Q7" s="12"/>
      <c r="R7" s="12"/>
      <c r="S7" s="12"/>
      <c r="T7" s="12"/>
      <c r="U7" s="12"/>
    </row>
    <row r="8" spans="1:21" s="2" customFormat="1" ht="45" x14ac:dyDescent="0.25">
      <c r="A8" s="65"/>
      <c r="B8" s="85" t="s">
        <v>26</v>
      </c>
      <c r="C8" s="86">
        <v>2.2999999999999998</v>
      </c>
      <c r="D8" s="86">
        <v>2.4500000000000002</v>
      </c>
      <c r="E8" s="86">
        <f t="shared" si="0"/>
        <v>5.6349999999999998</v>
      </c>
      <c r="F8" s="86">
        <f t="shared" si="1"/>
        <v>9.5</v>
      </c>
      <c r="G8" s="87" t="s">
        <v>89</v>
      </c>
      <c r="H8" s="86" t="s">
        <v>48</v>
      </c>
      <c r="I8" s="86">
        <v>1</v>
      </c>
      <c r="J8" s="86">
        <v>600</v>
      </c>
      <c r="K8" s="86">
        <v>1</v>
      </c>
      <c r="L8" s="86">
        <v>1400</v>
      </c>
      <c r="M8" s="93">
        <f t="shared" si="2"/>
        <v>2000</v>
      </c>
      <c r="N8" s="12"/>
      <c r="O8" s="12"/>
      <c r="P8" s="12"/>
      <c r="Q8" s="12"/>
      <c r="R8" s="12"/>
      <c r="S8" s="12"/>
      <c r="T8" s="12"/>
      <c r="U8" s="12"/>
    </row>
    <row r="9" spans="1:21" s="2" customFormat="1" x14ac:dyDescent="0.25">
      <c r="A9" s="65"/>
      <c r="B9" s="203" t="s">
        <v>222</v>
      </c>
      <c r="C9" s="204"/>
      <c r="D9" s="204"/>
      <c r="E9" s="204"/>
      <c r="F9" s="204"/>
      <c r="G9" s="205"/>
      <c r="H9" s="204" t="s">
        <v>221</v>
      </c>
      <c r="I9" s="204"/>
      <c r="J9" s="204"/>
      <c r="K9" s="204">
        <v>1</v>
      </c>
      <c r="L9" s="204">
        <v>2000</v>
      </c>
      <c r="M9" s="93">
        <f>L9*K9</f>
        <v>2000</v>
      </c>
      <c r="N9" s="12"/>
      <c r="O9" s="12"/>
      <c r="P9" s="12"/>
      <c r="Q9" s="12"/>
      <c r="R9" s="12"/>
      <c r="S9" s="12"/>
      <c r="T9" s="12"/>
      <c r="U9" s="12"/>
    </row>
    <row r="10" spans="1:21" s="2" customFormat="1" ht="30" x14ac:dyDescent="0.25">
      <c r="A10" s="65"/>
      <c r="B10" s="89" t="s">
        <v>71</v>
      </c>
      <c r="C10" s="80">
        <v>2.4500000000000002</v>
      </c>
      <c r="D10" s="80">
        <v>1.4</v>
      </c>
      <c r="E10" s="80">
        <f t="shared" si="0"/>
        <v>3.43</v>
      </c>
      <c r="F10" s="80">
        <f t="shared" si="1"/>
        <v>7.7</v>
      </c>
      <c r="G10" s="90" t="s">
        <v>88</v>
      </c>
      <c r="H10" s="80" t="s">
        <v>48</v>
      </c>
      <c r="I10" s="80">
        <v>2</v>
      </c>
      <c r="J10" s="80">
        <v>100</v>
      </c>
      <c r="K10" s="80"/>
      <c r="L10" s="80"/>
      <c r="M10" s="91">
        <f t="shared" si="2"/>
        <v>200</v>
      </c>
      <c r="N10" s="12"/>
      <c r="O10" s="12"/>
      <c r="P10" s="12"/>
      <c r="Q10" s="12"/>
      <c r="R10" s="12"/>
      <c r="S10" s="12"/>
      <c r="T10" s="12"/>
      <c r="U10" s="12"/>
    </row>
    <row r="11" spans="1:21" s="2" customFormat="1" ht="45" x14ac:dyDescent="0.25">
      <c r="A11" s="65"/>
      <c r="B11" s="85" t="s">
        <v>27</v>
      </c>
      <c r="C11" s="86">
        <v>4</v>
      </c>
      <c r="D11" s="86">
        <v>4.2</v>
      </c>
      <c r="E11" s="86">
        <f t="shared" si="0"/>
        <v>16.8</v>
      </c>
      <c r="F11" s="86">
        <f t="shared" si="1"/>
        <v>16.399999999999999</v>
      </c>
      <c r="G11" s="87" t="s">
        <v>89</v>
      </c>
      <c r="H11" s="86" t="s">
        <v>48</v>
      </c>
      <c r="I11" s="86">
        <v>2</v>
      </c>
      <c r="J11" s="86">
        <v>100</v>
      </c>
      <c r="K11" s="86">
        <v>3</v>
      </c>
      <c r="L11" s="86">
        <v>600</v>
      </c>
      <c r="M11" s="93">
        <f t="shared" si="2"/>
        <v>2000</v>
      </c>
      <c r="N11" s="12"/>
      <c r="O11" s="12"/>
      <c r="P11" s="12"/>
      <c r="Q11" s="12"/>
      <c r="R11" s="12"/>
      <c r="S11" s="12"/>
      <c r="T11" s="12"/>
      <c r="U11" s="12"/>
    </row>
    <row r="12" spans="1:21" s="2" customFormat="1" x14ac:dyDescent="0.25">
      <c r="A12" s="65"/>
      <c r="B12" s="203" t="s">
        <v>220</v>
      </c>
      <c r="C12" s="204"/>
      <c r="D12" s="204"/>
      <c r="E12" s="204"/>
      <c r="F12" s="204"/>
      <c r="G12" s="205"/>
      <c r="H12" s="204" t="s">
        <v>221</v>
      </c>
      <c r="I12" s="204"/>
      <c r="J12" s="204"/>
      <c r="K12" s="204">
        <v>1</v>
      </c>
      <c r="L12" s="204">
        <v>4500</v>
      </c>
      <c r="M12" s="93">
        <f>L12*K12</f>
        <v>4500</v>
      </c>
      <c r="N12" s="12"/>
      <c r="O12" s="12"/>
      <c r="P12" s="12"/>
      <c r="Q12" s="12"/>
      <c r="R12" s="12"/>
      <c r="S12" s="12"/>
      <c r="T12" s="12"/>
      <c r="U12" s="12"/>
    </row>
    <row r="13" spans="1:21" s="2" customFormat="1" ht="45" x14ac:dyDescent="0.25">
      <c r="A13" s="65"/>
      <c r="B13" s="89" t="s">
        <v>90</v>
      </c>
      <c r="C13" s="80">
        <v>1.05</v>
      </c>
      <c r="D13" s="80">
        <v>3</v>
      </c>
      <c r="E13" s="80">
        <f t="shared" si="0"/>
        <v>3.1500000000000004</v>
      </c>
      <c r="F13" s="80">
        <f t="shared" si="1"/>
        <v>8.1</v>
      </c>
      <c r="G13" s="90" t="s">
        <v>89</v>
      </c>
      <c r="H13" s="80" t="s">
        <v>48</v>
      </c>
      <c r="I13" s="80">
        <v>4</v>
      </c>
      <c r="J13" s="80">
        <v>100</v>
      </c>
      <c r="K13" s="80"/>
      <c r="L13" s="80"/>
      <c r="M13" s="91">
        <f t="shared" si="2"/>
        <v>400</v>
      </c>
      <c r="N13" s="12"/>
      <c r="O13" s="12"/>
      <c r="P13" s="12"/>
      <c r="Q13" s="12"/>
      <c r="R13" s="12"/>
      <c r="S13" s="12"/>
      <c r="T13" s="12"/>
      <c r="U13" s="12"/>
    </row>
    <row r="14" spans="1:21" s="2" customFormat="1" ht="30" x14ac:dyDescent="0.25">
      <c r="A14" s="65"/>
      <c r="B14" s="85" t="s">
        <v>29</v>
      </c>
      <c r="C14" s="86">
        <v>7.25</v>
      </c>
      <c r="D14" s="86">
        <v>4.2</v>
      </c>
      <c r="E14" s="86">
        <f t="shared" si="0"/>
        <v>30.450000000000003</v>
      </c>
      <c r="F14" s="86">
        <f t="shared" si="1"/>
        <v>22.9</v>
      </c>
      <c r="G14" s="87" t="s">
        <v>83</v>
      </c>
      <c r="H14" s="86" t="s">
        <v>48</v>
      </c>
      <c r="I14" s="86">
        <v>1</v>
      </c>
      <c r="J14" s="86">
        <v>100</v>
      </c>
      <c r="K14" s="86"/>
      <c r="L14" s="86"/>
      <c r="M14" s="93">
        <f t="shared" si="2"/>
        <v>100</v>
      </c>
      <c r="N14" s="12"/>
      <c r="O14" s="12"/>
      <c r="P14" s="12"/>
      <c r="Q14" s="12"/>
      <c r="R14" s="12"/>
      <c r="S14" s="12"/>
      <c r="T14" s="12"/>
      <c r="U14" s="12"/>
    </row>
    <row r="15" spans="1:21" s="2" customFormat="1" ht="60" x14ac:dyDescent="0.25">
      <c r="A15" s="65"/>
      <c r="B15" s="89" t="s">
        <v>28</v>
      </c>
      <c r="C15" s="98">
        <v>3.75</v>
      </c>
      <c r="D15" s="80">
        <v>4.2</v>
      </c>
      <c r="E15" s="80">
        <f>C15*D15</f>
        <v>15.75</v>
      </c>
      <c r="F15" s="80">
        <f>(C15+D15)*2</f>
        <v>15.9</v>
      </c>
      <c r="G15" s="90" t="s">
        <v>84</v>
      </c>
      <c r="H15" s="80" t="s">
        <v>48</v>
      </c>
      <c r="I15" s="80">
        <v>9</v>
      </c>
      <c r="J15" s="80">
        <v>100</v>
      </c>
      <c r="K15" s="80"/>
      <c r="L15" s="80"/>
      <c r="M15" s="91">
        <f t="shared" si="2"/>
        <v>900</v>
      </c>
      <c r="N15" s="12"/>
      <c r="O15" s="12"/>
      <c r="P15" s="12"/>
      <c r="Q15" s="12"/>
      <c r="R15" s="12"/>
      <c r="S15" s="12"/>
      <c r="T15" s="12"/>
      <c r="U15" s="12"/>
    </row>
    <row r="16" spans="1:21" s="2" customFormat="1" ht="30" x14ac:dyDescent="0.25">
      <c r="A16" s="65"/>
      <c r="B16" s="85" t="s">
        <v>30</v>
      </c>
      <c r="C16" s="86">
        <v>3.85</v>
      </c>
      <c r="D16" s="86">
        <v>1.1000000000000001</v>
      </c>
      <c r="E16" s="86">
        <f t="shared" si="0"/>
        <v>4.2350000000000003</v>
      </c>
      <c r="F16" s="86">
        <f t="shared" si="1"/>
        <v>9.9</v>
      </c>
      <c r="G16" s="87" t="s">
        <v>88</v>
      </c>
      <c r="H16" s="86" t="s">
        <v>48</v>
      </c>
      <c r="I16" s="86">
        <v>2</v>
      </c>
      <c r="J16" s="86">
        <v>100</v>
      </c>
      <c r="K16" s="86"/>
      <c r="L16" s="86"/>
      <c r="M16" s="93">
        <f t="shared" si="2"/>
        <v>200</v>
      </c>
      <c r="N16" s="12"/>
      <c r="O16" s="12"/>
      <c r="P16" s="12"/>
      <c r="Q16" s="12"/>
      <c r="R16" s="12"/>
      <c r="S16" s="12"/>
      <c r="T16" s="12"/>
      <c r="U16" s="12"/>
    </row>
    <row r="17" spans="1:21" s="2" customFormat="1" ht="60" x14ac:dyDescent="0.25">
      <c r="A17" s="65"/>
      <c r="B17" s="89" t="s">
        <v>31</v>
      </c>
      <c r="C17" s="80">
        <v>4.05</v>
      </c>
      <c r="D17" s="80">
        <v>4.05</v>
      </c>
      <c r="E17" s="80">
        <f t="shared" si="0"/>
        <v>16.4025</v>
      </c>
      <c r="F17" s="80">
        <f t="shared" si="1"/>
        <v>16.2</v>
      </c>
      <c r="G17" s="90" t="s">
        <v>84</v>
      </c>
      <c r="H17" s="80" t="s">
        <v>48</v>
      </c>
      <c r="I17" s="80">
        <v>4</v>
      </c>
      <c r="J17" s="80">
        <v>100</v>
      </c>
      <c r="K17" s="80"/>
      <c r="L17" s="80"/>
      <c r="M17" s="91">
        <f t="shared" si="2"/>
        <v>400</v>
      </c>
      <c r="N17" s="12"/>
      <c r="O17" s="12"/>
      <c r="P17" s="12"/>
      <c r="Q17" s="12"/>
      <c r="R17" s="12"/>
      <c r="S17" s="12"/>
      <c r="T17" s="12"/>
      <c r="U17" s="12"/>
    </row>
    <row r="18" spans="1:21" s="2" customFormat="1" ht="60" x14ac:dyDescent="0.25">
      <c r="A18" s="65"/>
      <c r="B18" s="85" t="s">
        <v>32</v>
      </c>
      <c r="C18" s="86">
        <v>3.78</v>
      </c>
      <c r="D18" s="86">
        <v>3.4</v>
      </c>
      <c r="E18" s="86">
        <f t="shared" si="0"/>
        <v>12.851999999999999</v>
      </c>
      <c r="F18" s="86">
        <f t="shared" si="1"/>
        <v>14.36</v>
      </c>
      <c r="G18" s="87" t="s">
        <v>84</v>
      </c>
      <c r="H18" s="86" t="s">
        <v>48</v>
      </c>
      <c r="I18" s="86">
        <v>4</v>
      </c>
      <c r="J18" s="86">
        <v>100</v>
      </c>
      <c r="K18" s="86"/>
      <c r="L18" s="86"/>
      <c r="M18" s="93">
        <f t="shared" si="2"/>
        <v>400</v>
      </c>
      <c r="N18" s="12"/>
      <c r="O18" s="12"/>
      <c r="P18" s="12"/>
      <c r="Q18" s="12"/>
      <c r="R18" s="12"/>
      <c r="S18" s="12"/>
      <c r="T18" s="12"/>
      <c r="U18" s="12"/>
    </row>
    <row r="19" spans="1:21" s="2" customFormat="1" ht="75" x14ac:dyDescent="0.25">
      <c r="A19" s="65"/>
      <c r="B19" s="89" t="s">
        <v>33</v>
      </c>
      <c r="C19" s="80">
        <v>3.85</v>
      </c>
      <c r="D19" s="80">
        <v>4.33</v>
      </c>
      <c r="E19" s="80">
        <f t="shared" si="0"/>
        <v>16.670500000000001</v>
      </c>
      <c r="F19" s="80">
        <f t="shared" si="1"/>
        <v>16.36</v>
      </c>
      <c r="G19" s="90" t="s">
        <v>91</v>
      </c>
      <c r="H19" s="80" t="s">
        <v>48</v>
      </c>
      <c r="I19" s="80">
        <v>2</v>
      </c>
      <c r="J19" s="80">
        <v>100</v>
      </c>
      <c r="K19" s="80"/>
      <c r="L19" s="80"/>
      <c r="M19" s="91">
        <f t="shared" si="2"/>
        <v>200</v>
      </c>
      <c r="N19" s="12"/>
      <c r="O19" s="12"/>
      <c r="P19" s="12"/>
      <c r="Q19" s="12"/>
      <c r="R19" s="12"/>
      <c r="S19" s="12"/>
      <c r="T19" s="12"/>
      <c r="U19" s="12"/>
    </row>
    <row r="20" spans="1:21" s="2" customFormat="1" ht="45" x14ac:dyDescent="0.25">
      <c r="A20" s="65"/>
      <c r="B20" s="85" t="s">
        <v>34</v>
      </c>
      <c r="C20" s="86">
        <v>2.65</v>
      </c>
      <c r="D20" s="86">
        <v>1.4</v>
      </c>
      <c r="E20" s="86">
        <f t="shared" si="0"/>
        <v>3.7099999999999995</v>
      </c>
      <c r="F20" s="86">
        <f t="shared" si="1"/>
        <v>8.1</v>
      </c>
      <c r="G20" s="87" t="s">
        <v>87</v>
      </c>
      <c r="H20" s="86" t="s">
        <v>48</v>
      </c>
      <c r="I20" s="86">
        <v>1</v>
      </c>
      <c r="J20" s="86">
        <v>600</v>
      </c>
      <c r="K20" s="86"/>
      <c r="L20" s="86"/>
      <c r="M20" s="93">
        <f t="shared" si="2"/>
        <v>600</v>
      </c>
      <c r="N20" s="12"/>
      <c r="O20" s="12"/>
      <c r="P20" s="12"/>
      <c r="Q20" s="12"/>
      <c r="R20" s="12"/>
      <c r="S20" s="12"/>
      <c r="T20" s="12"/>
      <c r="U20" s="12"/>
    </row>
    <row r="21" spans="1:21" s="2" customFormat="1" ht="45" x14ac:dyDescent="0.25">
      <c r="A21" s="65"/>
      <c r="B21" s="89" t="s">
        <v>35</v>
      </c>
      <c r="C21" s="80">
        <v>2.65</v>
      </c>
      <c r="D21" s="80">
        <v>1.4</v>
      </c>
      <c r="E21" s="80">
        <f t="shared" si="0"/>
        <v>3.7099999999999995</v>
      </c>
      <c r="F21" s="80">
        <f t="shared" si="1"/>
        <v>8.1</v>
      </c>
      <c r="G21" s="90" t="s">
        <v>87</v>
      </c>
      <c r="H21" s="80" t="s">
        <v>48</v>
      </c>
      <c r="I21" s="80">
        <v>1</v>
      </c>
      <c r="J21" s="80">
        <v>600</v>
      </c>
      <c r="K21" s="80"/>
      <c r="L21" s="80"/>
      <c r="M21" s="91">
        <f>I21*J21+K21*L21</f>
        <v>600</v>
      </c>
      <c r="N21" s="12"/>
      <c r="O21" s="12"/>
      <c r="P21" s="12"/>
      <c r="Q21" s="12"/>
      <c r="R21" s="12"/>
      <c r="S21" s="12"/>
      <c r="T21" s="12"/>
      <c r="U21" s="12"/>
    </row>
    <row r="22" spans="1:21" s="2" customFormat="1" ht="45" x14ac:dyDescent="0.25">
      <c r="A22" s="65"/>
      <c r="B22" s="85" t="s">
        <v>36</v>
      </c>
      <c r="C22" s="86">
        <v>3.85</v>
      </c>
      <c r="D22" s="86">
        <v>2.3199999999999998</v>
      </c>
      <c r="E22" s="86">
        <f t="shared" si="0"/>
        <v>8.9320000000000004</v>
      </c>
      <c r="F22" s="86">
        <f t="shared" si="1"/>
        <v>12.34</v>
      </c>
      <c r="G22" s="87" t="s">
        <v>87</v>
      </c>
      <c r="H22" s="86" t="s">
        <v>48</v>
      </c>
      <c r="I22" s="86">
        <v>2</v>
      </c>
      <c r="J22" s="86">
        <v>600</v>
      </c>
      <c r="K22" s="86">
        <v>2</v>
      </c>
      <c r="L22" s="86">
        <v>100</v>
      </c>
      <c r="M22" s="93">
        <f>I22*J22+K22*L22</f>
        <v>1400</v>
      </c>
      <c r="N22" s="12"/>
      <c r="O22" s="12"/>
      <c r="P22" s="12"/>
      <c r="Q22" s="12"/>
      <c r="R22" s="12"/>
      <c r="S22" s="12"/>
      <c r="T22" s="12"/>
      <c r="U22" s="12"/>
    </row>
    <row r="23" spans="1:21" s="2" customFormat="1" ht="60" x14ac:dyDescent="0.25">
      <c r="A23" s="65"/>
      <c r="B23" s="89" t="s">
        <v>37</v>
      </c>
      <c r="C23" s="80">
        <v>3.6</v>
      </c>
      <c r="D23" s="80">
        <v>4.2</v>
      </c>
      <c r="E23" s="80">
        <f t="shared" si="0"/>
        <v>15.120000000000001</v>
      </c>
      <c r="F23" s="80">
        <f t="shared" si="1"/>
        <v>15.600000000000001</v>
      </c>
      <c r="G23" s="90" t="s">
        <v>84</v>
      </c>
      <c r="H23" s="80" t="s">
        <v>48</v>
      </c>
      <c r="I23" s="80">
        <v>4</v>
      </c>
      <c r="J23" s="80">
        <v>100</v>
      </c>
      <c r="K23" s="80"/>
      <c r="L23" s="80"/>
      <c r="M23" s="91">
        <f t="shared" ref="M23:M32" si="3">I23*J23+K23*L23</f>
        <v>400</v>
      </c>
      <c r="N23" s="12"/>
      <c r="O23" s="12"/>
      <c r="P23" s="12"/>
      <c r="Q23" s="12"/>
      <c r="R23" s="12"/>
      <c r="S23" s="12"/>
      <c r="T23" s="12"/>
      <c r="U23" s="12"/>
    </row>
    <row r="24" spans="1:21" s="2" customFormat="1" ht="30" x14ac:dyDescent="0.25">
      <c r="A24" s="65"/>
      <c r="B24" s="85" t="s">
        <v>38</v>
      </c>
      <c r="C24" s="86">
        <v>2</v>
      </c>
      <c r="D24" s="86">
        <v>3.37</v>
      </c>
      <c r="E24" s="86">
        <f t="shared" si="0"/>
        <v>6.74</v>
      </c>
      <c r="F24" s="86">
        <f t="shared" si="1"/>
        <v>10.74</v>
      </c>
      <c r="G24" s="87" t="s">
        <v>88</v>
      </c>
      <c r="H24" s="86" t="s">
        <v>48</v>
      </c>
      <c r="I24" s="86">
        <v>2</v>
      </c>
      <c r="J24" s="86">
        <v>100</v>
      </c>
      <c r="K24" s="86"/>
      <c r="L24" s="86"/>
      <c r="M24" s="93">
        <f t="shared" si="3"/>
        <v>200</v>
      </c>
      <c r="N24" s="12"/>
      <c r="O24" s="12"/>
      <c r="P24" s="12"/>
      <c r="Q24" s="12"/>
      <c r="R24" s="12"/>
      <c r="S24" s="12"/>
      <c r="T24" s="12"/>
      <c r="U24" s="12"/>
    </row>
    <row r="25" spans="1:21" s="2" customFormat="1" ht="30" x14ac:dyDescent="0.25">
      <c r="A25" s="65"/>
      <c r="B25" s="89" t="s">
        <v>39</v>
      </c>
      <c r="C25" s="80">
        <v>4.63</v>
      </c>
      <c r="D25" s="80">
        <v>1.4</v>
      </c>
      <c r="E25" s="80">
        <f t="shared" si="0"/>
        <v>6.4819999999999993</v>
      </c>
      <c r="F25" s="80">
        <f t="shared" si="1"/>
        <v>12.059999999999999</v>
      </c>
      <c r="G25" s="90" t="s">
        <v>88</v>
      </c>
      <c r="H25" s="80" t="s">
        <v>48</v>
      </c>
      <c r="I25" s="80">
        <v>2</v>
      </c>
      <c r="J25" s="80">
        <v>100</v>
      </c>
      <c r="K25" s="80"/>
      <c r="L25" s="80"/>
      <c r="M25" s="91">
        <f t="shared" si="3"/>
        <v>200</v>
      </c>
      <c r="N25" s="12"/>
      <c r="O25" s="12"/>
      <c r="P25" s="12"/>
      <c r="Q25" s="12"/>
      <c r="R25" s="12"/>
      <c r="S25" s="12"/>
      <c r="T25" s="12"/>
      <c r="U25" s="12"/>
    </row>
    <row r="26" spans="1:21" s="2" customFormat="1" ht="30" x14ac:dyDescent="0.25">
      <c r="A26" s="65"/>
      <c r="B26" s="85" t="s">
        <v>40</v>
      </c>
      <c r="C26" s="86">
        <v>4.6500000000000004</v>
      </c>
      <c r="D26" s="86">
        <v>5.35</v>
      </c>
      <c r="E26" s="86">
        <f t="shared" si="0"/>
        <v>24.877500000000001</v>
      </c>
      <c r="F26" s="86">
        <f t="shared" si="1"/>
        <v>20</v>
      </c>
      <c r="G26" s="87" t="s">
        <v>88</v>
      </c>
      <c r="H26" s="86" t="s">
        <v>48</v>
      </c>
      <c r="I26" s="86">
        <v>2</v>
      </c>
      <c r="J26" s="86">
        <v>100</v>
      </c>
      <c r="K26" s="86">
        <v>3</v>
      </c>
      <c r="L26" s="86">
        <v>600</v>
      </c>
      <c r="M26" s="93">
        <f t="shared" si="3"/>
        <v>2000</v>
      </c>
      <c r="N26" s="12"/>
      <c r="O26" s="12"/>
      <c r="P26" s="12"/>
      <c r="Q26" s="12"/>
      <c r="R26" s="12"/>
      <c r="S26" s="12"/>
      <c r="T26" s="12"/>
      <c r="U26" s="12"/>
    </row>
    <row r="27" spans="1:21" ht="30" x14ac:dyDescent="0.25">
      <c r="A27" s="79"/>
      <c r="B27" s="94" t="s">
        <v>102</v>
      </c>
      <c r="C27" s="373" t="s">
        <v>108</v>
      </c>
      <c r="D27" s="374"/>
      <c r="E27" s="374"/>
      <c r="F27" s="374"/>
      <c r="G27" s="90" t="s">
        <v>109</v>
      </c>
      <c r="H27" s="80" t="s">
        <v>110</v>
      </c>
      <c r="I27" s="80"/>
      <c r="J27" s="80"/>
      <c r="K27" s="80">
        <v>1</v>
      </c>
      <c r="L27" s="80">
        <v>7800</v>
      </c>
      <c r="M27" s="91">
        <f t="shared" si="3"/>
        <v>7800</v>
      </c>
      <c r="N27" s="13"/>
      <c r="O27" s="13"/>
      <c r="P27" s="13"/>
      <c r="Q27" s="13"/>
      <c r="R27" s="13"/>
      <c r="S27" s="13"/>
      <c r="T27" s="13"/>
      <c r="U27" s="13"/>
    </row>
    <row r="28" spans="1:21" ht="30" x14ac:dyDescent="0.25">
      <c r="B28" s="95" t="s">
        <v>103</v>
      </c>
      <c r="C28" s="375" t="s">
        <v>108</v>
      </c>
      <c r="D28" s="376"/>
      <c r="E28" s="376"/>
      <c r="F28" s="376"/>
      <c r="G28" s="96" t="s">
        <v>109</v>
      </c>
      <c r="H28" s="81" t="s">
        <v>110</v>
      </c>
      <c r="I28" s="81"/>
      <c r="J28" s="81"/>
      <c r="K28" s="81">
        <v>1</v>
      </c>
      <c r="L28" s="81">
        <v>7800</v>
      </c>
      <c r="M28" s="97">
        <f t="shared" si="3"/>
        <v>7800</v>
      </c>
      <c r="N28" s="13"/>
      <c r="O28" s="13"/>
      <c r="P28" s="13"/>
      <c r="Q28" s="13"/>
      <c r="R28" s="13"/>
      <c r="S28" s="13"/>
      <c r="T28" s="13"/>
      <c r="U28" s="13"/>
    </row>
    <row r="29" spans="1:21" ht="30" x14ac:dyDescent="0.25">
      <c r="B29" s="89" t="s">
        <v>104</v>
      </c>
      <c r="C29" s="373" t="s">
        <v>108</v>
      </c>
      <c r="D29" s="374"/>
      <c r="E29" s="374"/>
      <c r="F29" s="374"/>
      <c r="G29" s="90" t="s">
        <v>109</v>
      </c>
      <c r="H29" s="80" t="s">
        <v>110</v>
      </c>
      <c r="I29" s="80"/>
      <c r="J29" s="80"/>
      <c r="K29" s="80">
        <v>1</v>
      </c>
      <c r="L29" s="80">
        <v>7800</v>
      </c>
      <c r="M29" s="91">
        <f t="shared" si="3"/>
        <v>7800</v>
      </c>
      <c r="N29" s="13"/>
      <c r="O29" s="13"/>
      <c r="P29" s="13"/>
      <c r="Q29" s="13"/>
      <c r="R29" s="13"/>
      <c r="S29" s="13"/>
      <c r="T29" s="13"/>
      <c r="U29" s="13"/>
    </row>
    <row r="30" spans="1:21" ht="30" x14ac:dyDescent="0.25">
      <c r="B30" s="95" t="s">
        <v>105</v>
      </c>
      <c r="C30" s="375" t="s">
        <v>108</v>
      </c>
      <c r="D30" s="376"/>
      <c r="E30" s="376"/>
      <c r="F30" s="376"/>
      <c r="G30" s="96" t="s">
        <v>109</v>
      </c>
      <c r="H30" s="81" t="s">
        <v>110</v>
      </c>
      <c r="I30" s="81"/>
      <c r="J30" s="81"/>
      <c r="K30" s="81">
        <v>1</v>
      </c>
      <c r="L30" s="81">
        <v>7800</v>
      </c>
      <c r="M30" s="97">
        <f t="shared" si="3"/>
        <v>7800</v>
      </c>
      <c r="N30" s="13"/>
      <c r="O30" s="13"/>
      <c r="P30" s="13"/>
      <c r="Q30" s="13"/>
      <c r="R30" s="13"/>
      <c r="S30" s="13"/>
      <c r="T30" s="13"/>
      <c r="U30" s="13"/>
    </row>
    <row r="31" spans="1:21" ht="30" x14ac:dyDescent="0.25">
      <c r="B31" s="89" t="s">
        <v>106</v>
      </c>
      <c r="C31" s="373" t="s">
        <v>108</v>
      </c>
      <c r="D31" s="374"/>
      <c r="E31" s="374"/>
      <c r="F31" s="374"/>
      <c r="G31" s="90" t="s">
        <v>109</v>
      </c>
      <c r="H31" s="80" t="s">
        <v>110</v>
      </c>
      <c r="I31" s="80"/>
      <c r="J31" s="80"/>
      <c r="K31" s="80">
        <v>1</v>
      </c>
      <c r="L31" s="80">
        <v>7800</v>
      </c>
      <c r="M31" s="91">
        <f t="shared" si="3"/>
        <v>7800</v>
      </c>
      <c r="N31" s="13"/>
      <c r="O31" s="13"/>
      <c r="P31" s="13"/>
      <c r="Q31" s="13"/>
      <c r="R31" s="13"/>
      <c r="S31" s="13"/>
      <c r="T31" s="13"/>
      <c r="U31" s="13"/>
    </row>
    <row r="32" spans="1:21" ht="30" x14ac:dyDescent="0.25">
      <c r="B32" s="180" t="s">
        <v>107</v>
      </c>
      <c r="C32" s="370" t="s">
        <v>108</v>
      </c>
      <c r="D32" s="371"/>
      <c r="E32" s="371"/>
      <c r="F32" s="371"/>
      <c r="G32" s="181" t="s">
        <v>109</v>
      </c>
      <c r="H32" s="182" t="s">
        <v>107</v>
      </c>
      <c r="I32" s="182"/>
      <c r="J32" s="182"/>
      <c r="K32" s="182">
        <v>1</v>
      </c>
      <c r="L32" s="182">
        <v>4000</v>
      </c>
      <c r="M32" s="182">
        <f t="shared" si="3"/>
        <v>4000</v>
      </c>
      <c r="N32" s="66"/>
      <c r="O32" s="13"/>
      <c r="P32" s="13"/>
      <c r="Q32" s="13"/>
      <c r="R32" s="13"/>
      <c r="S32" s="13"/>
      <c r="T32" s="13"/>
      <c r="U32" s="13"/>
    </row>
    <row r="33" spans="2:21" ht="15" customHeight="1" x14ac:dyDescent="0.25">
      <c r="B33" s="187" t="s">
        <v>193</v>
      </c>
      <c r="C33" s="369" t="s">
        <v>108</v>
      </c>
      <c r="D33" s="369"/>
      <c r="E33" s="369"/>
      <c r="F33" s="369"/>
      <c r="G33" s="184" t="s">
        <v>88</v>
      </c>
      <c r="H33" s="185" t="s">
        <v>48</v>
      </c>
      <c r="I33" s="183">
        <v>2</v>
      </c>
      <c r="J33" s="183">
        <v>100</v>
      </c>
      <c r="K33" s="183"/>
      <c r="L33" s="183"/>
      <c r="M33" s="186">
        <f t="shared" ref="M33" si="4">I33*J33+K33*L33</f>
        <v>200</v>
      </c>
      <c r="O33" s="6"/>
      <c r="P33" s="6"/>
      <c r="Q33" s="6"/>
      <c r="R33" s="6"/>
      <c r="S33" s="6"/>
      <c r="T33" s="6"/>
      <c r="U33" s="6"/>
    </row>
    <row r="34" spans="2:21" x14ac:dyDescent="0.25">
      <c r="L34" s="257"/>
    </row>
  </sheetData>
  <mergeCells count="9">
    <mergeCell ref="C33:F33"/>
    <mergeCell ref="C32:F32"/>
    <mergeCell ref="A2:XFD2"/>
    <mergeCell ref="A1:XFD1"/>
    <mergeCell ref="C27:F27"/>
    <mergeCell ref="C28:F28"/>
    <mergeCell ref="C29:F29"/>
    <mergeCell ref="C30:F30"/>
    <mergeCell ref="C31:F31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CC1FA1-F00F-4025-AB2D-F9C7E594EB9E}">
  <dimension ref="A2:U34"/>
  <sheetViews>
    <sheetView zoomScale="80" zoomScaleNormal="80" workbookViewId="0">
      <selection activeCell="G31" sqref="G31"/>
    </sheetView>
  </sheetViews>
  <sheetFormatPr defaultRowHeight="15" x14ac:dyDescent="0.25"/>
  <cols>
    <col min="3" max="3" width="11.140625" customWidth="1"/>
    <col min="4" max="4" width="6.85546875" customWidth="1"/>
    <col min="7" max="7" width="12.140625" customWidth="1"/>
    <col min="8" max="8" width="10" customWidth="1"/>
    <col min="9" max="9" width="9.140625" customWidth="1"/>
    <col min="11" max="11" width="11.140625" customWidth="1"/>
    <col min="12" max="12" width="10.85546875" customWidth="1"/>
    <col min="13" max="13" width="12" customWidth="1"/>
    <col min="14" max="14" width="13.85546875" customWidth="1"/>
    <col min="16" max="16" width="13.5703125" customWidth="1"/>
    <col min="19" max="19" width="12.5703125" customWidth="1"/>
    <col min="20" max="20" width="10.85546875" customWidth="1"/>
  </cols>
  <sheetData>
    <row r="2" spans="2:21" x14ac:dyDescent="0.25">
      <c r="B2" s="300" t="s">
        <v>151</v>
      </c>
      <c r="C2" s="300"/>
      <c r="D2" s="300"/>
      <c r="E2" s="300"/>
      <c r="F2" s="300"/>
      <c r="G2" s="300"/>
      <c r="H2" s="300"/>
      <c r="I2" s="300"/>
      <c r="J2" s="300"/>
      <c r="K2" s="300"/>
      <c r="L2" s="300"/>
      <c r="M2" s="300"/>
      <c r="N2" s="300"/>
      <c r="O2" s="300"/>
      <c r="P2" s="300"/>
      <c r="Q2" s="300"/>
      <c r="R2" s="300"/>
      <c r="S2" s="300"/>
      <c r="T2" s="300"/>
    </row>
    <row r="3" spans="2:21" s="112" customFormat="1" ht="60" x14ac:dyDescent="0.25">
      <c r="B3" s="157" t="s">
        <v>152</v>
      </c>
      <c r="C3" s="157" t="s">
        <v>153</v>
      </c>
      <c r="D3" s="157" t="s">
        <v>154</v>
      </c>
      <c r="E3" s="157" t="s">
        <v>155</v>
      </c>
      <c r="F3" s="157" t="s">
        <v>156</v>
      </c>
      <c r="G3" s="157" t="s">
        <v>157</v>
      </c>
      <c r="H3" s="157" t="s">
        <v>165</v>
      </c>
      <c r="I3" s="157" t="s">
        <v>159</v>
      </c>
      <c r="J3" s="157" t="s">
        <v>160</v>
      </c>
      <c r="K3" s="157" t="s">
        <v>158</v>
      </c>
      <c r="L3" s="157" t="s">
        <v>161</v>
      </c>
      <c r="M3" s="157" t="s">
        <v>162</v>
      </c>
      <c r="N3" s="157" t="s">
        <v>164</v>
      </c>
      <c r="O3" s="157" t="s">
        <v>163</v>
      </c>
      <c r="P3" s="157" t="s">
        <v>184</v>
      </c>
      <c r="Q3" s="157" t="s">
        <v>188</v>
      </c>
      <c r="R3" s="157" t="s">
        <v>189</v>
      </c>
      <c r="S3" s="157" t="s">
        <v>194</v>
      </c>
      <c r="T3" s="157" t="s">
        <v>190</v>
      </c>
    </row>
    <row r="4" spans="2:21" s="112" customFormat="1" x14ac:dyDescent="0.25">
      <c r="B4" s="104">
        <v>1</v>
      </c>
      <c r="C4" s="105">
        <f>Circuitos!T4</f>
        <v>5.3954545454545455</v>
      </c>
      <c r="D4" s="105">
        <v>0.87</v>
      </c>
      <c r="E4" s="105">
        <v>1</v>
      </c>
      <c r="F4" s="105">
        <v>0.7</v>
      </c>
      <c r="G4" s="105">
        <f>C4/(D4*E4*F4)</f>
        <v>8.859531273324377</v>
      </c>
      <c r="H4" s="105">
        <v>1.5</v>
      </c>
      <c r="I4" s="105">
        <v>0.5</v>
      </c>
      <c r="J4" s="105">
        <f>SIN(ACOS(I4))</f>
        <v>0.8660254037844386</v>
      </c>
      <c r="K4" s="105">
        <v>2</v>
      </c>
      <c r="L4" s="105">
        <v>14.48</v>
      </c>
      <c r="M4" s="105">
        <v>0.16</v>
      </c>
      <c r="N4" s="105">
        <f ca="1">'Comprimento Médio'!G17</f>
        <v>16.299730412805392</v>
      </c>
      <c r="O4" s="105">
        <f ca="1">N4*K4*G4*(I4*L4+J4*M4)/1000</f>
        <v>2.1310469359291417</v>
      </c>
      <c r="P4" s="105">
        <f ca="1">O4/220*100</f>
        <v>0.96865769814960989</v>
      </c>
      <c r="Q4" s="188">
        <v>10</v>
      </c>
      <c r="R4" s="188">
        <v>1.3</v>
      </c>
      <c r="S4" s="188">
        <v>17.5</v>
      </c>
      <c r="T4" s="162" t="str">
        <f>IF(AND(C4&lt;Q4,Q4&lt;(S4*F4*E4*D4)),"CORRETO","INCORRETO")</f>
        <v>CORRETO</v>
      </c>
    </row>
    <row r="5" spans="2:21" s="121" customFormat="1" x14ac:dyDescent="0.25">
      <c r="B5" s="158">
        <v>2</v>
      </c>
      <c r="C5" s="120">
        <f>Circuitos!T5</f>
        <v>9.0909090909090899</v>
      </c>
      <c r="D5" s="120">
        <v>0.87</v>
      </c>
      <c r="E5" s="120">
        <v>1</v>
      </c>
      <c r="F5" s="120">
        <v>0.7</v>
      </c>
      <c r="G5" s="120">
        <f t="shared" ref="G5:G21" si="0">C5/(D5*E5*F5)</f>
        <v>14.927601134497685</v>
      </c>
      <c r="H5" s="120">
        <v>2.5</v>
      </c>
      <c r="I5" s="120">
        <v>0.92</v>
      </c>
      <c r="J5" s="120">
        <f t="shared" ref="J5:J19" si="1">SIN(ACOS(I5))</f>
        <v>0.39191835884530823</v>
      </c>
      <c r="K5" s="120">
        <v>2</v>
      </c>
      <c r="L5" s="120">
        <v>8.8699999999999992</v>
      </c>
      <c r="M5" s="120">
        <v>0.15</v>
      </c>
      <c r="N5" s="120">
        <f>'Comprimento Médio'!G31</f>
        <v>8.58</v>
      </c>
      <c r="O5" s="120">
        <f t="shared" ref="O5:O20" si="2">N5*K5*G5*(I5*L5+J5*M5)/1000</f>
        <v>2.1054077004876519</v>
      </c>
      <c r="P5" s="120">
        <f t="shared" ref="P5:P21" si="3">O5/220*100</f>
        <v>0.95700350022165992</v>
      </c>
      <c r="Q5" s="121">
        <v>10</v>
      </c>
      <c r="R5" s="112">
        <v>1.3</v>
      </c>
      <c r="S5" s="121">
        <v>24</v>
      </c>
      <c r="T5" s="163" t="str">
        <f t="shared" ref="T5:T6" si="4">IF(AND(C5&lt;Q5,Q5&lt;(S5*F5*E5*D5)),"CORRETO","INCORRETO")</f>
        <v>CORRETO</v>
      </c>
      <c r="U5" s="112"/>
    </row>
    <row r="6" spans="2:21" s="112" customFormat="1" x14ac:dyDescent="0.25">
      <c r="B6" s="104">
        <v>3</v>
      </c>
      <c r="C6" s="105">
        <f>Circuitos!T6</f>
        <v>9.0909090909090917</v>
      </c>
      <c r="D6" s="105">
        <v>0.87</v>
      </c>
      <c r="E6" s="105">
        <v>1</v>
      </c>
      <c r="F6" s="105">
        <v>0.7</v>
      </c>
      <c r="G6" s="105">
        <f t="shared" si="0"/>
        <v>14.927601134497689</v>
      </c>
      <c r="H6" s="105">
        <v>2.5</v>
      </c>
      <c r="I6" s="105">
        <v>0.8</v>
      </c>
      <c r="J6" s="105">
        <f t="shared" si="1"/>
        <v>0.59999999999999987</v>
      </c>
      <c r="K6" s="105">
        <v>2</v>
      </c>
      <c r="L6" s="105">
        <v>8.8699999999999992</v>
      </c>
      <c r="M6" s="105">
        <v>0.15</v>
      </c>
      <c r="N6" s="105">
        <f>'Comprimento Médio'!G39</f>
        <v>7.01</v>
      </c>
      <c r="O6" s="105">
        <f t="shared" si="2"/>
        <v>1.5039217793700554</v>
      </c>
      <c r="P6" s="105">
        <f t="shared" si="3"/>
        <v>0.68360080880457064</v>
      </c>
      <c r="Q6" s="188">
        <v>10</v>
      </c>
      <c r="R6" s="188">
        <v>1.3</v>
      </c>
      <c r="S6" s="188">
        <v>24</v>
      </c>
      <c r="T6" s="163" t="str">
        <f t="shared" si="4"/>
        <v>CORRETO</v>
      </c>
    </row>
    <row r="7" spans="2:21" s="121" customFormat="1" x14ac:dyDescent="0.25">
      <c r="B7" s="158">
        <v>4</v>
      </c>
      <c r="C7" s="120">
        <f>Circuitos!T7</f>
        <v>9.0909090909090917</v>
      </c>
      <c r="D7" s="120">
        <v>0.87</v>
      </c>
      <c r="E7" s="120">
        <v>1</v>
      </c>
      <c r="F7" s="120">
        <v>0.7</v>
      </c>
      <c r="G7" s="120">
        <f t="shared" si="0"/>
        <v>14.927601134497689</v>
      </c>
      <c r="H7" s="120">
        <v>2.5</v>
      </c>
      <c r="I7" s="120">
        <v>0.8</v>
      </c>
      <c r="J7" s="120">
        <f t="shared" si="1"/>
        <v>0.59999999999999987</v>
      </c>
      <c r="K7" s="120">
        <v>2</v>
      </c>
      <c r="L7" s="120">
        <v>8.8699999999999992</v>
      </c>
      <c r="M7" s="120">
        <v>0.15</v>
      </c>
      <c r="N7" s="120">
        <f>'Comprimento Médio'!G45</f>
        <v>4.8</v>
      </c>
      <c r="O7" s="120">
        <f t="shared" si="2"/>
        <v>1.0297895208240038</v>
      </c>
      <c r="P7" s="120">
        <f t="shared" si="3"/>
        <v>0.46808614582909264</v>
      </c>
      <c r="Q7" s="121">
        <v>10</v>
      </c>
      <c r="R7" s="112">
        <v>1.3</v>
      </c>
      <c r="S7" s="121">
        <v>24</v>
      </c>
      <c r="T7" s="163" t="str">
        <f>IF(AND(C7&lt;Q7,Q7&lt;(S7*F7*E7*D7)),"CORRETO","ERRADO")</f>
        <v>CORRETO</v>
      </c>
      <c r="U7" s="112"/>
    </row>
    <row r="8" spans="2:21" s="112" customFormat="1" x14ac:dyDescent="0.25">
      <c r="B8" s="104">
        <v>5</v>
      </c>
      <c r="C8" s="105">
        <f>Circuitos!T8</f>
        <v>10</v>
      </c>
      <c r="D8" s="105">
        <v>0.87</v>
      </c>
      <c r="E8" s="105">
        <v>1</v>
      </c>
      <c r="F8" s="105">
        <v>0.7</v>
      </c>
      <c r="G8" s="105">
        <f t="shared" si="0"/>
        <v>16.420361247947454</v>
      </c>
      <c r="H8" s="105">
        <v>4</v>
      </c>
      <c r="I8" s="105">
        <v>0.92</v>
      </c>
      <c r="J8" s="105">
        <f t="shared" si="1"/>
        <v>0.39191835884530823</v>
      </c>
      <c r="K8" s="105">
        <v>2</v>
      </c>
      <c r="L8" s="105">
        <v>5.52</v>
      </c>
      <c r="M8" s="105">
        <v>0.14000000000000001</v>
      </c>
      <c r="N8" s="105">
        <f>'Comprimento Médio'!G69</f>
        <v>8.2380952380952372</v>
      </c>
      <c r="O8" s="105">
        <f t="shared" si="2"/>
        <v>1.388780143328225</v>
      </c>
      <c r="P8" s="105">
        <f t="shared" si="3"/>
        <v>0.63126370151282951</v>
      </c>
      <c r="Q8" s="105">
        <v>16</v>
      </c>
      <c r="R8" s="188">
        <v>1.3</v>
      </c>
      <c r="S8" s="105">
        <v>32</v>
      </c>
      <c r="T8" s="163" t="str">
        <f t="shared" ref="T8:T21" si="5">IF(AND(C8&lt;Q8,Q8&lt;(S8*F8*E8*D8)),"CORRETO","ERRADO")</f>
        <v>CORRETO</v>
      </c>
    </row>
    <row r="9" spans="2:21" s="121" customFormat="1" x14ac:dyDescent="0.25">
      <c r="B9" s="158">
        <v>6</v>
      </c>
      <c r="C9" s="120">
        <f>Circuitos!T9</f>
        <v>35.454545454545453</v>
      </c>
      <c r="D9" s="120">
        <v>0.87</v>
      </c>
      <c r="E9" s="120">
        <v>1</v>
      </c>
      <c r="F9" s="120">
        <v>1</v>
      </c>
      <c r="G9" s="120">
        <f t="shared" si="0"/>
        <v>40.752351097178682</v>
      </c>
      <c r="H9" s="120">
        <v>10</v>
      </c>
      <c r="I9" s="120">
        <v>1</v>
      </c>
      <c r="J9" s="120">
        <f t="shared" si="1"/>
        <v>0</v>
      </c>
      <c r="K9" s="120">
        <v>2</v>
      </c>
      <c r="L9" s="120">
        <v>3.69</v>
      </c>
      <c r="M9" s="120">
        <v>0.13</v>
      </c>
      <c r="N9" s="120">
        <f>'Comprimento Médio'!G72</f>
        <v>7.5</v>
      </c>
      <c r="O9" s="120">
        <f t="shared" si="2"/>
        <v>2.25564263322884</v>
      </c>
      <c r="P9" s="120">
        <f t="shared" si="3"/>
        <v>1.0252921060131091</v>
      </c>
      <c r="Q9" s="120">
        <v>40</v>
      </c>
      <c r="R9" s="112">
        <v>1.3</v>
      </c>
      <c r="S9" s="120">
        <v>57</v>
      </c>
      <c r="T9" s="163" t="str">
        <f t="shared" si="5"/>
        <v>CORRETO</v>
      </c>
      <c r="U9" s="112"/>
    </row>
    <row r="10" spans="2:21" s="112" customFormat="1" x14ac:dyDescent="0.25">
      <c r="B10" s="104">
        <v>7</v>
      </c>
      <c r="C10" s="105">
        <f>Circuitos!T21</f>
        <v>9.0909090909090917</v>
      </c>
      <c r="D10" s="105">
        <v>0.87</v>
      </c>
      <c r="E10" s="105">
        <v>1</v>
      </c>
      <c r="F10" s="105">
        <v>0.7</v>
      </c>
      <c r="G10" s="105">
        <f t="shared" si="0"/>
        <v>14.927601134497689</v>
      </c>
      <c r="H10" s="105">
        <v>2.5</v>
      </c>
      <c r="I10" s="105">
        <v>0.92</v>
      </c>
      <c r="J10" s="105">
        <f t="shared" si="1"/>
        <v>0.39191835884530823</v>
      </c>
      <c r="K10" s="105">
        <v>2</v>
      </c>
      <c r="L10" s="105">
        <v>8.8699999999999992</v>
      </c>
      <c r="M10" s="105">
        <v>0.15</v>
      </c>
      <c r="N10" s="105">
        <f>'Comprimento Médio'!G85</f>
        <v>9.4250000000000007</v>
      </c>
      <c r="O10" s="105">
        <f t="shared" si="2"/>
        <v>2.3127584588690118</v>
      </c>
      <c r="P10" s="105">
        <f t="shared" si="3"/>
        <v>1.0512538449404598</v>
      </c>
      <c r="Q10" s="105">
        <v>10</v>
      </c>
      <c r="R10" s="188">
        <v>1.3</v>
      </c>
      <c r="S10" s="188">
        <v>24</v>
      </c>
      <c r="T10" s="163" t="str">
        <f t="shared" si="5"/>
        <v>CORRETO</v>
      </c>
    </row>
    <row r="11" spans="2:21" s="121" customFormat="1" x14ac:dyDescent="0.25">
      <c r="B11" s="158">
        <v>8</v>
      </c>
      <c r="C11" s="120">
        <f>Circuitos!T22</f>
        <v>9.0909090909090917</v>
      </c>
      <c r="D11" s="120">
        <v>0.87</v>
      </c>
      <c r="E11" s="120">
        <v>1</v>
      </c>
      <c r="F11" s="120">
        <v>0.7</v>
      </c>
      <c r="G11" s="120">
        <f t="shared" si="0"/>
        <v>14.927601134497689</v>
      </c>
      <c r="H11" s="120">
        <v>2.5</v>
      </c>
      <c r="I11" s="120">
        <v>0.92</v>
      </c>
      <c r="J11" s="120">
        <f t="shared" si="1"/>
        <v>0.39191835884530823</v>
      </c>
      <c r="K11" s="120">
        <v>2</v>
      </c>
      <c r="L11" s="120">
        <v>8.8699999999999992</v>
      </c>
      <c r="M11" s="120">
        <v>0.15</v>
      </c>
      <c r="N11" s="120">
        <f>'Comprimento Médio'!G98</f>
        <v>8.32</v>
      </c>
      <c r="O11" s="120">
        <f t="shared" si="2"/>
        <v>2.0416074671395417</v>
      </c>
      <c r="P11" s="120">
        <f t="shared" si="3"/>
        <v>0.92800339415433708</v>
      </c>
      <c r="Q11" s="120">
        <v>10</v>
      </c>
      <c r="R11" s="112">
        <v>1.3</v>
      </c>
      <c r="S11" s="121">
        <v>24</v>
      </c>
      <c r="T11" s="163" t="str">
        <f t="shared" si="5"/>
        <v>CORRETO</v>
      </c>
      <c r="U11" s="112"/>
    </row>
    <row r="12" spans="2:21" s="112" customFormat="1" x14ac:dyDescent="0.25">
      <c r="B12" s="104">
        <v>9</v>
      </c>
      <c r="C12" s="105">
        <f>Circuitos!T23</f>
        <v>35.454545454545453</v>
      </c>
      <c r="D12" s="105">
        <v>0.87</v>
      </c>
      <c r="E12" s="105">
        <v>1</v>
      </c>
      <c r="F12" s="105">
        <v>1</v>
      </c>
      <c r="G12" s="105">
        <f t="shared" si="0"/>
        <v>40.752351097178682</v>
      </c>
      <c r="H12" s="105">
        <v>10</v>
      </c>
      <c r="I12" s="105">
        <v>1</v>
      </c>
      <c r="J12" s="105">
        <f t="shared" si="1"/>
        <v>0</v>
      </c>
      <c r="K12" s="105">
        <v>2</v>
      </c>
      <c r="L12" s="105">
        <v>3.69</v>
      </c>
      <c r="M12" s="105">
        <v>0.13</v>
      </c>
      <c r="N12" s="105">
        <f>'Comprimento Médio'!G101</f>
        <v>5</v>
      </c>
      <c r="O12" s="105">
        <f t="shared" si="2"/>
        <v>1.5037617554858935</v>
      </c>
      <c r="P12" s="105">
        <f t="shared" si="3"/>
        <v>0.68352807067540611</v>
      </c>
      <c r="Q12" s="105">
        <v>40</v>
      </c>
      <c r="R12" s="188">
        <v>1.3</v>
      </c>
      <c r="S12" s="188">
        <v>57</v>
      </c>
      <c r="T12" s="163" t="str">
        <f t="shared" si="5"/>
        <v>CORRETO</v>
      </c>
    </row>
    <row r="13" spans="2:21" s="121" customFormat="1" x14ac:dyDescent="0.25">
      <c r="B13" s="158">
        <v>10</v>
      </c>
      <c r="C13" s="120">
        <f>Circuitos!T24</f>
        <v>35.454545454545453</v>
      </c>
      <c r="D13" s="120">
        <v>0.87</v>
      </c>
      <c r="E13" s="120">
        <v>1</v>
      </c>
      <c r="F13" s="120">
        <v>1</v>
      </c>
      <c r="G13" s="120">
        <f t="shared" si="0"/>
        <v>40.752351097178682</v>
      </c>
      <c r="H13" s="120">
        <v>10</v>
      </c>
      <c r="I13" s="120">
        <v>1</v>
      </c>
      <c r="J13" s="120">
        <f t="shared" si="1"/>
        <v>0</v>
      </c>
      <c r="K13" s="120">
        <v>2</v>
      </c>
      <c r="L13" s="120">
        <v>3.69</v>
      </c>
      <c r="M13" s="120">
        <v>0.13</v>
      </c>
      <c r="N13" s="120">
        <f>'Comprimento Médio'!G104</f>
        <v>3.2</v>
      </c>
      <c r="O13" s="120">
        <f t="shared" si="2"/>
        <v>0.96240752351097181</v>
      </c>
      <c r="P13" s="120">
        <f t="shared" si="3"/>
        <v>0.43745796523225994</v>
      </c>
      <c r="Q13" s="120">
        <v>40</v>
      </c>
      <c r="R13" s="112">
        <v>1.3</v>
      </c>
      <c r="S13" s="121">
        <v>57</v>
      </c>
      <c r="T13" s="163" t="str">
        <f t="shared" si="5"/>
        <v>CORRETO</v>
      </c>
      <c r="U13" s="112"/>
    </row>
    <row r="14" spans="2:21" s="112" customFormat="1" x14ac:dyDescent="0.25">
      <c r="B14" s="104">
        <v>11</v>
      </c>
      <c r="C14" s="105">
        <f>Circuitos!T10</f>
        <v>9.0909090909090917</v>
      </c>
      <c r="D14" s="105">
        <v>0.87</v>
      </c>
      <c r="E14" s="105">
        <v>1</v>
      </c>
      <c r="F14" s="105">
        <v>0.7</v>
      </c>
      <c r="G14" s="105">
        <f t="shared" si="0"/>
        <v>14.927601134497689</v>
      </c>
      <c r="H14" s="105">
        <v>2.5</v>
      </c>
      <c r="I14" s="105">
        <v>0.92</v>
      </c>
      <c r="J14" s="105">
        <f t="shared" si="1"/>
        <v>0.39191835884530823</v>
      </c>
      <c r="K14" s="105">
        <v>2</v>
      </c>
      <c r="L14" s="105">
        <v>8.8699999999999992</v>
      </c>
      <c r="M14" s="105">
        <v>0.15</v>
      </c>
      <c r="N14" s="105">
        <f>'Comprimento Médio'!G112</f>
        <v>11.315</v>
      </c>
      <c r="O14" s="105">
        <f t="shared" si="2"/>
        <v>2.776537078207201</v>
      </c>
      <c r="P14" s="105">
        <f t="shared" si="3"/>
        <v>1.2620623082760005</v>
      </c>
      <c r="Q14" s="105">
        <v>10</v>
      </c>
      <c r="R14" s="188">
        <v>1.3</v>
      </c>
      <c r="S14" s="188">
        <v>24</v>
      </c>
      <c r="T14" s="163" t="str">
        <f t="shared" si="5"/>
        <v>CORRETO</v>
      </c>
    </row>
    <row r="15" spans="2:21" s="121" customFormat="1" x14ac:dyDescent="0.25">
      <c r="B15" s="158">
        <v>12</v>
      </c>
      <c r="C15" s="120">
        <f>Circuitos!T25</f>
        <v>18.181818181818183</v>
      </c>
      <c r="D15" s="120">
        <v>0.87</v>
      </c>
      <c r="E15" s="120">
        <v>1</v>
      </c>
      <c r="F15" s="120">
        <v>1</v>
      </c>
      <c r="G15" s="120">
        <f t="shared" si="0"/>
        <v>20.898641588296762</v>
      </c>
      <c r="H15" s="120">
        <v>2.5</v>
      </c>
      <c r="I15" s="120">
        <v>0.92</v>
      </c>
      <c r="J15" s="120">
        <f t="shared" si="1"/>
        <v>0.39191835884530823</v>
      </c>
      <c r="K15" s="120">
        <v>2</v>
      </c>
      <c r="L15" s="120">
        <v>8.8699999999999992</v>
      </c>
      <c r="M15" s="120">
        <v>0.15</v>
      </c>
      <c r="N15" s="120">
        <f>'Comprimento Médio'!G115</f>
        <v>3.6</v>
      </c>
      <c r="O15" s="120">
        <f t="shared" si="2"/>
        <v>1.2367429849018374</v>
      </c>
      <c r="P15" s="120">
        <f t="shared" si="3"/>
        <v>0.56215590222810785</v>
      </c>
      <c r="Q15" s="120">
        <v>20</v>
      </c>
      <c r="R15" s="112">
        <v>1.3</v>
      </c>
      <c r="S15" s="121">
        <v>24</v>
      </c>
      <c r="T15" s="163" t="str">
        <f t="shared" si="5"/>
        <v>CORRETO</v>
      </c>
      <c r="U15" s="112"/>
    </row>
    <row r="16" spans="2:21" s="112" customFormat="1" x14ac:dyDescent="0.25">
      <c r="B16" s="104">
        <v>13</v>
      </c>
      <c r="C16" s="105">
        <f>Circuitos!T26</f>
        <v>35.454545454545453</v>
      </c>
      <c r="D16" s="105">
        <v>0.87</v>
      </c>
      <c r="E16" s="105">
        <v>1</v>
      </c>
      <c r="F16" s="105">
        <v>1</v>
      </c>
      <c r="G16" s="105">
        <f t="shared" si="0"/>
        <v>40.752351097178682</v>
      </c>
      <c r="H16" s="105">
        <v>10</v>
      </c>
      <c r="I16" s="105">
        <v>1</v>
      </c>
      <c r="J16" s="105">
        <f t="shared" si="1"/>
        <v>0</v>
      </c>
      <c r="K16" s="105">
        <v>2</v>
      </c>
      <c r="L16" s="105">
        <v>3.69</v>
      </c>
      <c r="M16" s="105">
        <v>0.13</v>
      </c>
      <c r="N16" s="105">
        <f>'Comprimento Médio'!G118</f>
        <v>7</v>
      </c>
      <c r="O16" s="105">
        <f t="shared" si="2"/>
        <v>2.1052664576802509</v>
      </c>
      <c r="P16" s="105">
        <f t="shared" si="3"/>
        <v>0.95693929894556851</v>
      </c>
      <c r="Q16" s="105">
        <v>40</v>
      </c>
      <c r="R16" s="188">
        <v>1.3</v>
      </c>
      <c r="S16" s="188">
        <v>57</v>
      </c>
      <c r="T16" s="163" t="str">
        <f t="shared" si="5"/>
        <v>CORRETO</v>
      </c>
    </row>
    <row r="17" spans="1:21" s="121" customFormat="1" x14ac:dyDescent="0.25">
      <c r="B17" s="158">
        <v>14</v>
      </c>
      <c r="C17" s="120">
        <f>Circuitos!T27</f>
        <v>35.454545454545453</v>
      </c>
      <c r="D17" s="120">
        <v>0.87</v>
      </c>
      <c r="E17" s="120">
        <v>1</v>
      </c>
      <c r="F17" s="120">
        <v>1</v>
      </c>
      <c r="G17" s="120">
        <f t="shared" si="0"/>
        <v>40.752351097178682</v>
      </c>
      <c r="H17" s="120">
        <v>10</v>
      </c>
      <c r="I17" s="120">
        <v>1</v>
      </c>
      <c r="J17" s="120">
        <f t="shared" si="1"/>
        <v>0</v>
      </c>
      <c r="K17" s="120">
        <v>2</v>
      </c>
      <c r="L17" s="120">
        <v>3.69</v>
      </c>
      <c r="M17" s="120">
        <v>0.13</v>
      </c>
      <c r="N17" s="120">
        <f>'Comprimento Médio'!G121</f>
        <v>7</v>
      </c>
      <c r="O17" s="120">
        <f t="shared" si="2"/>
        <v>2.1052664576802509</v>
      </c>
      <c r="P17" s="120">
        <f t="shared" si="3"/>
        <v>0.95693929894556851</v>
      </c>
      <c r="Q17" s="120">
        <v>40</v>
      </c>
      <c r="R17" s="112">
        <v>1.3</v>
      </c>
      <c r="S17" s="121">
        <v>57</v>
      </c>
      <c r="T17" s="163" t="str">
        <f t="shared" si="5"/>
        <v>CORRETO</v>
      </c>
      <c r="U17" s="112"/>
    </row>
    <row r="18" spans="1:21" s="112" customFormat="1" x14ac:dyDescent="0.25">
      <c r="B18" s="104">
        <v>15</v>
      </c>
      <c r="C18" s="105">
        <f>Circuitos!T11</f>
        <v>5.290909090909091</v>
      </c>
      <c r="D18" s="105">
        <v>0.87</v>
      </c>
      <c r="E18" s="105">
        <v>1</v>
      </c>
      <c r="F18" s="105">
        <v>1</v>
      </c>
      <c r="G18" s="105">
        <f t="shared" si="0"/>
        <v>6.0815047021943576</v>
      </c>
      <c r="H18" s="105">
        <v>1.5</v>
      </c>
      <c r="I18" s="105">
        <v>0.5</v>
      </c>
      <c r="J18" s="105">
        <f t="shared" si="1"/>
        <v>0.8660254037844386</v>
      </c>
      <c r="K18" s="105">
        <v>2</v>
      </c>
      <c r="L18" s="105">
        <v>14.48</v>
      </c>
      <c r="M18" s="105">
        <v>0.16</v>
      </c>
      <c r="N18" s="105">
        <f>'Comprimento Médio'!G126</f>
        <v>24.587628865979383</v>
      </c>
      <c r="O18" s="105">
        <f t="shared" si="2"/>
        <v>2.2066301309196419</v>
      </c>
      <c r="P18" s="105">
        <f t="shared" si="3"/>
        <v>1.0030136958725644</v>
      </c>
      <c r="Q18" s="105">
        <v>10</v>
      </c>
      <c r="R18" s="188">
        <v>1.3</v>
      </c>
      <c r="S18" s="188">
        <v>17.5</v>
      </c>
      <c r="T18" s="163" t="str">
        <f t="shared" si="5"/>
        <v>CORRETO</v>
      </c>
    </row>
    <row r="19" spans="1:21" s="112" customFormat="1" x14ac:dyDescent="0.25">
      <c r="B19" s="209">
        <v>16</v>
      </c>
      <c r="C19" s="210">
        <f>Circuitos!T28</f>
        <v>4.1181818181818182</v>
      </c>
      <c r="D19" s="210">
        <v>0.87</v>
      </c>
      <c r="E19" s="210">
        <v>1</v>
      </c>
      <c r="F19" s="210">
        <v>1</v>
      </c>
      <c r="G19" s="210">
        <f t="shared" si="0"/>
        <v>4.7335423197492164</v>
      </c>
      <c r="H19" s="210">
        <v>1.5</v>
      </c>
      <c r="I19" s="210">
        <v>0.5</v>
      </c>
      <c r="J19" s="210">
        <f t="shared" si="1"/>
        <v>0.8660254037844386</v>
      </c>
      <c r="K19" s="210">
        <v>2</v>
      </c>
      <c r="L19" s="210">
        <v>14.48</v>
      </c>
      <c r="M19" s="210">
        <v>0.16</v>
      </c>
      <c r="N19" s="210">
        <v>33.72</v>
      </c>
      <c r="O19" s="210">
        <f t="shared" si="2"/>
        <v>2.3554597002528634</v>
      </c>
      <c r="P19" s="210">
        <f t="shared" si="3"/>
        <v>1.070663500114938</v>
      </c>
      <c r="Q19" s="210">
        <v>10</v>
      </c>
      <c r="R19" s="211">
        <v>1.3</v>
      </c>
      <c r="S19" s="211">
        <v>17.5</v>
      </c>
      <c r="T19" s="200" t="str">
        <f t="shared" si="5"/>
        <v>CORRETO</v>
      </c>
    </row>
    <row r="20" spans="1:21" s="121" customFormat="1" x14ac:dyDescent="0.25">
      <c r="B20" s="122">
        <v>17</v>
      </c>
      <c r="C20" s="123">
        <f>Circuitos!F21</f>
        <v>9.0909090909090917</v>
      </c>
      <c r="D20" s="123">
        <v>1</v>
      </c>
      <c r="E20" s="123">
        <v>1</v>
      </c>
      <c r="F20" s="123">
        <v>1</v>
      </c>
      <c r="G20" s="123">
        <f t="shared" si="0"/>
        <v>9.0909090909090917</v>
      </c>
      <c r="H20" s="123">
        <v>2.5</v>
      </c>
      <c r="I20" s="123">
        <v>0.92</v>
      </c>
      <c r="J20" s="123">
        <f>SIN(ACOS(I20))</f>
        <v>0.39191835884530823</v>
      </c>
      <c r="K20" s="123">
        <v>2</v>
      </c>
      <c r="L20" s="123">
        <v>14.48</v>
      </c>
      <c r="M20" s="123">
        <v>0.16</v>
      </c>
      <c r="N20" s="123">
        <v>2</v>
      </c>
      <c r="O20" s="123">
        <f t="shared" si="2"/>
        <v>0.48670207045146369</v>
      </c>
      <c r="P20" s="123">
        <f t="shared" si="3"/>
        <v>0.2212282138415744</v>
      </c>
      <c r="Q20" s="123">
        <v>10</v>
      </c>
      <c r="R20" s="123">
        <v>1.3</v>
      </c>
      <c r="S20" s="123">
        <v>24</v>
      </c>
      <c r="T20" s="164" t="str">
        <f t="shared" si="5"/>
        <v>CORRETO</v>
      </c>
      <c r="U20" s="112"/>
    </row>
    <row r="21" spans="1:21" x14ac:dyDescent="0.25">
      <c r="B21" s="212">
        <v>18</v>
      </c>
      <c r="C21" s="213">
        <f>Circuitos!F26</f>
        <v>20.454545454545453</v>
      </c>
      <c r="D21" s="213">
        <v>1</v>
      </c>
      <c r="E21" s="213">
        <v>1</v>
      </c>
      <c r="F21" s="213">
        <v>1</v>
      </c>
      <c r="G21" s="213">
        <f t="shared" si="0"/>
        <v>20.454545454545453</v>
      </c>
      <c r="H21" s="213">
        <v>4</v>
      </c>
      <c r="I21" s="213">
        <v>1</v>
      </c>
      <c r="J21" s="213">
        <f>SIN(ACOS(I21))</f>
        <v>0</v>
      </c>
      <c r="K21" s="213">
        <v>2</v>
      </c>
      <c r="L21" s="213">
        <v>5.52</v>
      </c>
      <c r="M21" s="213">
        <v>0.14000000000000001</v>
      </c>
      <c r="N21" s="213">
        <v>4</v>
      </c>
      <c r="O21" s="213">
        <f>N21*K21*G21*(I21*L21+J21*M21)/1000</f>
        <v>0.90327272727272712</v>
      </c>
      <c r="P21" s="213">
        <f t="shared" si="3"/>
        <v>0.41057851239669418</v>
      </c>
      <c r="Q21" s="213">
        <v>25</v>
      </c>
      <c r="R21" s="213">
        <v>1.3</v>
      </c>
      <c r="S21" s="214">
        <v>32</v>
      </c>
      <c r="T21" s="215" t="str">
        <f t="shared" si="5"/>
        <v>CORRETO</v>
      </c>
      <c r="U21" s="112"/>
    </row>
    <row r="23" spans="1:21" ht="60" x14ac:dyDescent="0.25">
      <c r="A23" s="178" t="s">
        <v>166</v>
      </c>
      <c r="B23" s="178" t="s">
        <v>169</v>
      </c>
      <c r="C23" s="178" t="s">
        <v>167</v>
      </c>
      <c r="D23" s="178" t="s">
        <v>168</v>
      </c>
      <c r="E23" s="192" t="s">
        <v>199</v>
      </c>
      <c r="F23" s="192" t="s">
        <v>198</v>
      </c>
      <c r="J23" s="309" t="s">
        <v>217</v>
      </c>
      <c r="K23" s="310"/>
      <c r="L23" s="311"/>
    </row>
    <row r="24" spans="1:21" x14ac:dyDescent="0.25">
      <c r="A24" s="193">
        <v>1.5</v>
      </c>
      <c r="B24" s="193">
        <v>17.5</v>
      </c>
      <c r="C24" s="193">
        <v>14.48</v>
      </c>
      <c r="D24" s="193">
        <v>0.16</v>
      </c>
      <c r="E24" s="193">
        <v>3</v>
      </c>
      <c r="F24" s="193">
        <v>7.0685834705770345</v>
      </c>
      <c r="J24" s="239"/>
      <c r="K24" s="239" t="s">
        <v>218</v>
      </c>
      <c r="L24" s="239" t="s">
        <v>219</v>
      </c>
    </row>
    <row r="25" spans="1:21" x14ac:dyDescent="0.25">
      <c r="A25" s="177">
        <v>2.5</v>
      </c>
      <c r="B25" s="177">
        <v>24</v>
      </c>
      <c r="C25" s="177">
        <v>8.8699999999999992</v>
      </c>
      <c r="D25" s="177">
        <v>0.15</v>
      </c>
      <c r="E25" s="177">
        <v>3.6</v>
      </c>
      <c r="F25" s="177">
        <v>10.178760197630931</v>
      </c>
      <c r="J25" s="256">
        <v>10</v>
      </c>
      <c r="K25" s="308" t="s">
        <v>285</v>
      </c>
      <c r="L25" s="308" t="s">
        <v>263</v>
      </c>
    </row>
    <row r="26" spans="1:21" x14ac:dyDescent="0.25">
      <c r="A26" s="193">
        <v>4</v>
      </c>
      <c r="B26" s="193">
        <v>32</v>
      </c>
      <c r="C26" s="193">
        <v>5.52</v>
      </c>
      <c r="D26" s="193">
        <v>0.14000000000000001</v>
      </c>
      <c r="E26" s="193">
        <v>4.2</v>
      </c>
      <c r="F26" s="193">
        <v>13.854423602330987</v>
      </c>
      <c r="J26" s="239">
        <v>16</v>
      </c>
      <c r="K26" s="308"/>
      <c r="L26" s="308"/>
    </row>
    <row r="27" spans="1:21" x14ac:dyDescent="0.25">
      <c r="A27" s="177">
        <v>6</v>
      </c>
      <c r="B27" s="177">
        <v>41</v>
      </c>
      <c r="C27" s="177">
        <v>3.69</v>
      </c>
      <c r="D27" s="177">
        <v>0.13</v>
      </c>
      <c r="E27" s="177">
        <v>4.7</v>
      </c>
      <c r="F27" s="177">
        <v>17.349445429449634</v>
      </c>
      <c r="J27" s="256">
        <v>20</v>
      </c>
      <c r="K27" s="308"/>
      <c r="L27" s="308"/>
    </row>
    <row r="28" spans="1:21" x14ac:dyDescent="0.25">
      <c r="A28" s="193">
        <v>10</v>
      </c>
      <c r="B28" s="193">
        <v>57</v>
      </c>
      <c r="C28" s="193">
        <v>2.19</v>
      </c>
      <c r="D28" s="193">
        <v>0.13</v>
      </c>
      <c r="E28" s="193">
        <v>6</v>
      </c>
      <c r="F28" s="193">
        <v>28.274333882308138</v>
      </c>
      <c r="J28" s="239">
        <v>40</v>
      </c>
      <c r="K28" s="308"/>
      <c r="L28" s="308"/>
    </row>
    <row r="30" spans="1:21" ht="30" customHeight="1" x14ac:dyDescent="0.25">
      <c r="A30" s="307" t="s">
        <v>186</v>
      </c>
      <c r="B30" s="307"/>
      <c r="C30" s="307"/>
      <c r="D30" s="307"/>
      <c r="E30" s="307"/>
    </row>
    <row r="31" spans="1:21" ht="60" x14ac:dyDescent="0.25">
      <c r="A31" s="194" t="s">
        <v>187</v>
      </c>
      <c r="B31" s="194" t="s">
        <v>166</v>
      </c>
      <c r="C31" s="194" t="s">
        <v>196</v>
      </c>
      <c r="D31" s="195" t="s">
        <v>197</v>
      </c>
      <c r="E31" s="194" t="s">
        <v>195</v>
      </c>
    </row>
    <row r="32" spans="1:21" x14ac:dyDescent="0.25">
      <c r="A32" s="8">
        <v>6</v>
      </c>
      <c r="B32" s="189">
        <v>1.5</v>
      </c>
      <c r="C32" s="301">
        <f>F24*A32+F25*A33+F26*A34</f>
        <v>114.51105222334796</v>
      </c>
      <c r="D32" s="301">
        <v>356.32729275178838</v>
      </c>
      <c r="E32" s="304">
        <v>1</v>
      </c>
    </row>
    <row r="33" spans="1:5" x14ac:dyDescent="0.25">
      <c r="A33" s="179">
        <v>3</v>
      </c>
      <c r="B33" s="190">
        <v>2.5</v>
      </c>
      <c r="C33" s="302"/>
      <c r="D33" s="302"/>
      <c r="E33" s="305"/>
    </row>
    <row r="34" spans="1:5" x14ac:dyDescent="0.25">
      <c r="A34" s="191">
        <v>3</v>
      </c>
      <c r="B34" s="191">
        <v>4</v>
      </c>
      <c r="C34" s="303"/>
      <c r="D34" s="303"/>
      <c r="E34" s="306"/>
    </row>
  </sheetData>
  <mergeCells count="8">
    <mergeCell ref="B2:T2"/>
    <mergeCell ref="C32:C34"/>
    <mergeCell ref="D32:D34"/>
    <mergeCell ref="E32:E34"/>
    <mergeCell ref="A30:E30"/>
    <mergeCell ref="K25:K28"/>
    <mergeCell ref="L25:L28"/>
    <mergeCell ref="J23:L23"/>
  </mergeCells>
  <conditionalFormatting sqref="T4:T21">
    <cfRule type="cellIs" dxfId="20" priority="1" operator="equal">
      <formula>"ERRADO"</formula>
    </cfRule>
    <cfRule type="cellIs" dxfId="19" priority="2" operator="equal">
      <formula>"CORRETO"</formula>
    </cfRule>
    <cfRule type="cellIs" dxfId="18" priority="3" operator="equal">
      <formula>"""CORRETO"""</formula>
    </cfRule>
  </conditionalFormatting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E7FD0-DEC8-4C56-A31A-E3F3B5CCD23D}">
  <dimension ref="B3:H22"/>
  <sheetViews>
    <sheetView workbookViewId="0">
      <selection activeCell="C4" sqref="C4"/>
    </sheetView>
  </sheetViews>
  <sheetFormatPr defaultRowHeight="15" x14ac:dyDescent="0.25"/>
  <sheetData>
    <row r="3" spans="2:8" x14ac:dyDescent="0.25">
      <c r="B3" t="s">
        <v>286</v>
      </c>
      <c r="C3" t="s">
        <v>287</v>
      </c>
      <c r="D3" t="s">
        <v>288</v>
      </c>
      <c r="E3" t="s">
        <v>169</v>
      </c>
      <c r="F3" t="s">
        <v>289</v>
      </c>
      <c r="G3" t="s">
        <v>290</v>
      </c>
      <c r="H3" t="s">
        <v>291</v>
      </c>
    </row>
    <row r="4" spans="2:8" x14ac:dyDescent="0.25">
      <c r="B4">
        <v>17</v>
      </c>
    </row>
    <row r="5" spans="2:8" x14ac:dyDescent="0.25">
      <c r="B5">
        <v>17</v>
      </c>
    </row>
    <row r="6" spans="2:8" x14ac:dyDescent="0.25">
      <c r="B6">
        <v>17</v>
      </c>
    </row>
    <row r="7" spans="2:8" x14ac:dyDescent="0.25">
      <c r="B7">
        <v>17</v>
      </c>
    </row>
    <row r="8" spans="2:8" x14ac:dyDescent="0.25">
      <c r="B8">
        <v>17</v>
      </c>
    </row>
    <row r="9" spans="2:8" x14ac:dyDescent="0.25">
      <c r="B9">
        <v>17</v>
      </c>
    </row>
    <row r="10" spans="2:8" x14ac:dyDescent="0.25">
      <c r="B10">
        <v>17</v>
      </c>
    </row>
    <row r="11" spans="2:8" x14ac:dyDescent="0.25">
      <c r="B11">
        <v>17</v>
      </c>
    </row>
    <row r="12" spans="2:8" x14ac:dyDescent="0.25">
      <c r="B12">
        <v>17</v>
      </c>
    </row>
    <row r="13" spans="2:8" x14ac:dyDescent="0.25">
      <c r="B13">
        <v>17</v>
      </c>
    </row>
    <row r="14" spans="2:8" x14ac:dyDescent="0.25">
      <c r="B14">
        <v>17</v>
      </c>
    </row>
    <row r="15" spans="2:8" x14ac:dyDescent="0.25">
      <c r="B15">
        <v>17</v>
      </c>
    </row>
    <row r="16" spans="2:8" x14ac:dyDescent="0.25">
      <c r="B16">
        <v>17</v>
      </c>
    </row>
    <row r="17" spans="2:2" x14ac:dyDescent="0.25">
      <c r="B17">
        <v>17</v>
      </c>
    </row>
    <row r="18" spans="2:2" x14ac:dyDescent="0.25">
      <c r="B18">
        <v>17</v>
      </c>
    </row>
    <row r="19" spans="2:2" x14ac:dyDescent="0.25">
      <c r="B19">
        <v>17</v>
      </c>
    </row>
    <row r="20" spans="2:2" x14ac:dyDescent="0.25">
      <c r="B20">
        <v>17</v>
      </c>
    </row>
    <row r="21" spans="2:2" x14ac:dyDescent="0.25">
      <c r="B21">
        <v>17</v>
      </c>
    </row>
    <row r="22" spans="2:2" x14ac:dyDescent="0.25">
      <c r="B22">
        <v>17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BCD59B-DE36-4205-B79B-C4246F539011}">
  <dimension ref="B2:AE77"/>
  <sheetViews>
    <sheetView zoomScaleNormal="100" workbookViewId="0">
      <selection activeCell="J50" sqref="J50"/>
    </sheetView>
  </sheetViews>
  <sheetFormatPr defaultRowHeight="15" x14ac:dyDescent="0.25"/>
  <cols>
    <col min="1" max="1" width="9.140625" style="112"/>
    <col min="2" max="2" width="23.5703125" style="112" customWidth="1"/>
    <col min="3" max="3" width="26.85546875" style="112" customWidth="1"/>
    <col min="4" max="4" width="14.5703125" style="112" bestFit="1" customWidth="1"/>
    <col min="5" max="5" width="18.28515625" style="112" bestFit="1" customWidth="1"/>
    <col min="6" max="6" width="17" style="112" bestFit="1" customWidth="1"/>
    <col min="7" max="7" width="13.7109375" style="112" bestFit="1" customWidth="1"/>
    <col min="8" max="8" width="9.140625" style="112"/>
    <col min="9" max="9" width="18.42578125" style="112" bestFit="1" customWidth="1"/>
    <col min="10" max="10" width="13.28515625" style="112" bestFit="1" customWidth="1"/>
    <col min="11" max="11" width="12" style="112" bestFit="1" customWidth="1"/>
    <col min="12" max="12" width="18.28515625" style="112" bestFit="1" customWidth="1"/>
    <col min="13" max="13" width="17" style="112" bestFit="1" customWidth="1"/>
    <col min="14" max="16" width="9.140625" style="112"/>
    <col min="17" max="17" width="25.28515625" style="112" customWidth="1"/>
    <col min="18" max="19" width="19.5703125" style="112" customWidth="1"/>
    <col min="20" max="20" width="19" style="112" customWidth="1"/>
    <col min="21" max="21" width="15.5703125" style="112" customWidth="1"/>
    <col min="22" max="22" width="16.140625" style="112" customWidth="1"/>
    <col min="23" max="26" width="9.140625" style="112"/>
    <col min="27" max="27" width="10" style="112" customWidth="1"/>
    <col min="28" max="28" width="10.140625" style="112" customWidth="1"/>
    <col min="29" max="29" width="10" style="112" customWidth="1"/>
    <col min="30" max="16384" width="9.140625" style="112"/>
  </cols>
  <sheetData>
    <row r="2" spans="2:31" x14ac:dyDescent="0.25">
      <c r="B2" s="312" t="s">
        <v>185</v>
      </c>
      <c r="C2" s="312"/>
      <c r="D2" s="312"/>
      <c r="E2" s="39" t="s">
        <v>80</v>
      </c>
      <c r="F2" s="39">
        <v>220</v>
      </c>
      <c r="I2" s="313" t="s">
        <v>95</v>
      </c>
      <c r="J2" s="314"/>
      <c r="K2" s="314"/>
      <c r="L2" s="108" t="s">
        <v>80</v>
      </c>
      <c r="M2" s="45">
        <v>220</v>
      </c>
      <c r="P2" s="319" t="s">
        <v>121</v>
      </c>
      <c r="Q2" s="320"/>
      <c r="R2" s="320"/>
      <c r="S2" s="320"/>
      <c r="T2" s="320"/>
      <c r="U2" s="320"/>
      <c r="V2" s="320"/>
      <c r="W2" s="320"/>
      <c r="X2" s="320"/>
      <c r="Y2" s="320"/>
      <c r="Z2" s="320"/>
      <c r="AA2" s="320"/>
      <c r="AB2" s="320"/>
      <c r="AC2" s="320"/>
    </row>
    <row r="3" spans="2:31" ht="30" x14ac:dyDescent="0.25">
      <c r="B3" s="117" t="s">
        <v>43</v>
      </c>
      <c r="C3" s="117" t="s">
        <v>79</v>
      </c>
      <c r="D3" s="117" t="s">
        <v>82</v>
      </c>
      <c r="E3" s="117" t="s">
        <v>66</v>
      </c>
      <c r="F3" s="117" t="s">
        <v>81</v>
      </c>
      <c r="I3" s="99" t="s">
        <v>43</v>
      </c>
      <c r="J3" s="99" t="s">
        <v>79</v>
      </c>
      <c r="K3" s="99" t="s">
        <v>82</v>
      </c>
      <c r="L3" s="99" t="s">
        <v>66</v>
      </c>
      <c r="M3" s="113" t="s">
        <v>81</v>
      </c>
      <c r="P3" s="124" t="s">
        <v>122</v>
      </c>
      <c r="Q3" s="124" t="s">
        <v>123</v>
      </c>
      <c r="R3" s="124" t="s">
        <v>124</v>
      </c>
      <c r="S3" s="124" t="s">
        <v>200</v>
      </c>
      <c r="T3" s="124" t="s">
        <v>125</v>
      </c>
      <c r="U3" s="124" t="s">
        <v>126</v>
      </c>
      <c r="V3" s="217" t="s">
        <v>141</v>
      </c>
      <c r="W3" s="216" t="s">
        <v>235</v>
      </c>
      <c r="X3" s="194" t="s">
        <v>252</v>
      </c>
      <c r="Y3" s="194" t="s">
        <v>253</v>
      </c>
      <c r="Z3" s="195" t="s">
        <v>254</v>
      </c>
      <c r="AA3" s="194" t="s">
        <v>247</v>
      </c>
      <c r="AB3" s="194" t="s">
        <v>248</v>
      </c>
      <c r="AC3" s="194" t="s">
        <v>249</v>
      </c>
      <c r="AD3" s="112" t="s">
        <v>250</v>
      </c>
      <c r="AE3" s="112" t="s">
        <v>251</v>
      </c>
    </row>
    <row r="4" spans="2:31" x14ac:dyDescent="0.25">
      <c r="B4" s="100" t="str">
        <f>Lâmpadas!A2</f>
        <v>Suíte Hospedes</v>
      </c>
      <c r="C4" s="101">
        <f>Lâmpadas!Z2</f>
        <v>134</v>
      </c>
      <c r="D4" s="101">
        <f>C4/F2</f>
        <v>0.60909090909090913</v>
      </c>
      <c r="E4" s="301">
        <f>SUM(C4:C16)</f>
        <v>1187</v>
      </c>
      <c r="F4" s="318">
        <f>SUM(D4:D16)</f>
        <v>5.3954545454545455</v>
      </c>
      <c r="I4" s="114" t="str">
        <f>Tomadas!B4</f>
        <v>Suíte Hospedes</v>
      </c>
      <c r="J4" s="115">
        <f>Tomadas!M4</f>
        <v>300</v>
      </c>
      <c r="K4" s="115">
        <f>J4/M2</f>
        <v>1.3636363636363635</v>
      </c>
      <c r="L4" s="308">
        <f>J4+J5+J6+J7+J8</f>
        <v>2000</v>
      </c>
      <c r="M4" s="308">
        <f>K4+K5+K6+K7+K8</f>
        <v>9.0909090909090899</v>
      </c>
      <c r="P4" s="109">
        <v>1</v>
      </c>
      <c r="Q4" s="130" t="s">
        <v>127</v>
      </c>
      <c r="R4" s="125">
        <f>E4</f>
        <v>1187</v>
      </c>
      <c r="S4" s="125">
        <f>R4*0.5</f>
        <v>593.5</v>
      </c>
      <c r="T4" s="125">
        <f>F4</f>
        <v>5.3954545454545455</v>
      </c>
      <c r="U4" s="125">
        <v>220</v>
      </c>
      <c r="V4" s="218">
        <v>10</v>
      </c>
      <c r="W4" s="218" t="s">
        <v>239</v>
      </c>
      <c r="X4" s="218">
        <v>300</v>
      </c>
      <c r="Y4" s="218">
        <v>300</v>
      </c>
      <c r="Z4" s="218"/>
      <c r="AA4" s="125">
        <f>T4</f>
        <v>5.3954545454545455</v>
      </c>
      <c r="AB4" s="125">
        <f>T4</f>
        <v>5.3954545454545455</v>
      </c>
      <c r="AC4" s="126">
        <f>Z4/U4</f>
        <v>0</v>
      </c>
      <c r="AD4" s="112">
        <f>'Dimensionamento dos Cabos'!Q4</f>
        <v>10</v>
      </c>
    </row>
    <row r="5" spans="2:31" ht="30" x14ac:dyDescent="0.25">
      <c r="B5" s="102" t="str">
        <f>Lâmpadas!A5</f>
        <v>WC Hospedes</v>
      </c>
      <c r="C5" s="103">
        <f>Lâmpadas!Z5</f>
        <v>74</v>
      </c>
      <c r="D5" s="103">
        <f>C5/F2</f>
        <v>0.33636363636363636</v>
      </c>
      <c r="E5" s="302"/>
      <c r="F5" s="305"/>
      <c r="I5" s="104" t="str">
        <f>Tomadas!B5</f>
        <v>WC Hospedes</v>
      </c>
      <c r="J5" s="105">
        <f>Tomadas!M5</f>
        <v>600</v>
      </c>
      <c r="K5" s="105">
        <f>J5/M2</f>
        <v>2.7272727272727271</v>
      </c>
      <c r="L5" s="308"/>
      <c r="M5" s="308"/>
      <c r="P5" s="110">
        <v>2</v>
      </c>
      <c r="Q5" s="129" t="s">
        <v>128</v>
      </c>
      <c r="R5" s="127">
        <f>L4</f>
        <v>2000</v>
      </c>
      <c r="S5" s="127">
        <f>R5*0.92</f>
        <v>1840</v>
      </c>
      <c r="T5" s="127">
        <f>M4</f>
        <v>9.0909090909090899</v>
      </c>
      <c r="U5" s="127">
        <v>220</v>
      </c>
      <c r="V5" s="127">
        <v>10</v>
      </c>
      <c r="W5" s="127" t="s">
        <v>240</v>
      </c>
      <c r="X5" s="127"/>
      <c r="Y5" s="127">
        <v>920</v>
      </c>
      <c r="Z5" s="127">
        <v>920</v>
      </c>
      <c r="AA5" s="127"/>
      <c r="AB5" s="127">
        <f>T5</f>
        <v>9.0909090909090899</v>
      </c>
      <c r="AC5" s="128">
        <f>T5</f>
        <v>9.0909090909090899</v>
      </c>
      <c r="AD5" s="112">
        <f>'Dimensionamento dos Cabos'!Q5</f>
        <v>10</v>
      </c>
    </row>
    <row r="6" spans="2:31" x14ac:dyDescent="0.25">
      <c r="B6" s="104" t="str">
        <f>Lâmpadas!A7</f>
        <v>Lavabo</v>
      </c>
      <c r="C6" s="105">
        <f>Lâmpadas!Z7</f>
        <v>22</v>
      </c>
      <c r="D6" s="105">
        <f>C6/F2</f>
        <v>0.1</v>
      </c>
      <c r="E6" s="302"/>
      <c r="F6" s="305"/>
      <c r="I6" s="102" t="str">
        <f>Tomadas!B6</f>
        <v>Lavabo</v>
      </c>
      <c r="J6" s="103">
        <f>Tomadas!M6</f>
        <v>600</v>
      </c>
      <c r="K6" s="103">
        <f>J6/M2</f>
        <v>2.7272727272727271</v>
      </c>
      <c r="L6" s="308"/>
      <c r="M6" s="308"/>
      <c r="P6" s="109">
        <v>3</v>
      </c>
      <c r="Q6" s="130" t="s">
        <v>129</v>
      </c>
      <c r="R6" s="125">
        <f>L12</f>
        <v>2000</v>
      </c>
      <c r="S6" s="125">
        <f>R6*0.92</f>
        <v>1840</v>
      </c>
      <c r="T6" s="125">
        <f>M12</f>
        <v>9.0909090909090917</v>
      </c>
      <c r="U6" s="125">
        <v>220</v>
      </c>
      <c r="V6" s="125">
        <v>10</v>
      </c>
      <c r="W6" s="125" t="s">
        <v>241</v>
      </c>
      <c r="X6" s="125">
        <v>920</v>
      </c>
      <c r="Y6" s="125"/>
      <c r="Z6" s="125">
        <v>920</v>
      </c>
      <c r="AA6" s="125">
        <f t="shared" ref="AA6:AA14" si="0">T6</f>
        <v>9.0909090909090917</v>
      </c>
      <c r="AB6" s="125"/>
      <c r="AC6" s="126">
        <f t="shared" ref="AC6:AC14" si="1">T6</f>
        <v>9.0909090909090917</v>
      </c>
      <c r="AD6" s="112">
        <f>'Dimensionamento dos Cabos'!Q6</f>
        <v>10</v>
      </c>
    </row>
    <row r="7" spans="2:31" ht="30" x14ac:dyDescent="0.25">
      <c r="B7" s="102" t="str">
        <f>Lâmpadas!A8</f>
        <v>Hall</v>
      </c>
      <c r="C7" s="103">
        <f>Lâmpadas!Z8</f>
        <v>31</v>
      </c>
      <c r="D7" s="103">
        <f>C7/F2</f>
        <v>0.1409090909090909</v>
      </c>
      <c r="E7" s="302"/>
      <c r="F7" s="305"/>
      <c r="I7" s="104" t="str">
        <f>Tomadas!B7</f>
        <v>Hall</v>
      </c>
      <c r="J7" s="105">
        <f>Tomadas!M7</f>
        <v>300</v>
      </c>
      <c r="K7" s="105">
        <f>J7/M2</f>
        <v>1.3636363636363635</v>
      </c>
      <c r="L7" s="308"/>
      <c r="M7" s="308"/>
      <c r="P7" s="110">
        <v>4</v>
      </c>
      <c r="Q7" s="129" t="s">
        <v>130</v>
      </c>
      <c r="R7" s="127">
        <f>L17</f>
        <v>2000</v>
      </c>
      <c r="S7" s="127">
        <f>R7*0.92</f>
        <v>1840</v>
      </c>
      <c r="T7" s="127">
        <f>M17</f>
        <v>9.0909090909090917</v>
      </c>
      <c r="U7" s="127">
        <v>220</v>
      </c>
      <c r="V7" s="127">
        <v>10</v>
      </c>
      <c r="W7" s="127" t="s">
        <v>239</v>
      </c>
      <c r="X7" s="127">
        <v>920</v>
      </c>
      <c r="Y7" s="127">
        <v>920</v>
      </c>
      <c r="Z7" s="127"/>
      <c r="AA7" s="127">
        <f t="shared" si="0"/>
        <v>9.0909090909090917</v>
      </c>
      <c r="AB7" s="127">
        <f t="shared" ref="AB7:AB14" si="2">T7</f>
        <v>9.0909090909090917</v>
      </c>
      <c r="AC7" s="128"/>
      <c r="AD7" s="112">
        <f>'Dimensionamento dos Cabos'!Q7</f>
        <v>10</v>
      </c>
    </row>
    <row r="8" spans="2:31" x14ac:dyDescent="0.25">
      <c r="B8" s="104" t="str">
        <f>Lâmpadas!A10</f>
        <v>Área de Serviço</v>
      </c>
      <c r="C8" s="105">
        <f>Lâmpadas!Z10</f>
        <v>52</v>
      </c>
      <c r="D8" s="105">
        <f>C8/F2</f>
        <v>0.23636363636363636</v>
      </c>
      <c r="E8" s="302"/>
      <c r="F8" s="305"/>
      <c r="I8" s="106" t="str">
        <f>Tomadas!B10</f>
        <v>Dispensa</v>
      </c>
      <c r="J8" s="107">
        <f>Tomadas!M10</f>
        <v>200</v>
      </c>
      <c r="K8" s="107">
        <f>J8/M2</f>
        <v>0.90909090909090906</v>
      </c>
      <c r="L8" s="308"/>
      <c r="M8" s="308"/>
      <c r="P8" s="109">
        <v>5</v>
      </c>
      <c r="Q8" s="130" t="s">
        <v>131</v>
      </c>
      <c r="R8" s="125">
        <f>L21</f>
        <v>2200</v>
      </c>
      <c r="S8" s="125">
        <f>R8*0.92</f>
        <v>2024</v>
      </c>
      <c r="T8" s="125">
        <f>M21</f>
        <v>10</v>
      </c>
      <c r="U8" s="125">
        <v>220</v>
      </c>
      <c r="V8" s="125">
        <v>16</v>
      </c>
      <c r="W8" s="125" t="s">
        <v>240</v>
      </c>
      <c r="X8" s="125"/>
      <c r="Y8" s="125">
        <v>920</v>
      </c>
      <c r="Z8" s="125">
        <v>920</v>
      </c>
      <c r="AA8" s="125"/>
      <c r="AB8" s="125">
        <f t="shared" si="2"/>
        <v>10</v>
      </c>
      <c r="AC8" s="126">
        <f t="shared" si="1"/>
        <v>10</v>
      </c>
      <c r="AD8" s="112">
        <f>'Dimensionamento dos Cabos'!Q8</f>
        <v>16</v>
      </c>
    </row>
    <row r="9" spans="2:31" x14ac:dyDescent="0.25">
      <c r="B9" s="102" t="str">
        <f>Lâmpadas!A12</f>
        <v>Dispensa</v>
      </c>
      <c r="C9" s="103">
        <f>Lâmpadas!Z12</f>
        <v>30</v>
      </c>
      <c r="D9" s="103">
        <f>C9/F2</f>
        <v>0.13636363636363635</v>
      </c>
      <c r="E9" s="302"/>
      <c r="F9" s="305"/>
      <c r="L9" s="116"/>
      <c r="M9" s="116"/>
      <c r="P9" s="110">
        <v>6</v>
      </c>
      <c r="Q9" s="129" t="s">
        <v>132</v>
      </c>
      <c r="R9" s="127">
        <f>E31</f>
        <v>7800</v>
      </c>
      <c r="S9" s="127">
        <f>R9*1</f>
        <v>7800</v>
      </c>
      <c r="T9" s="127">
        <f>F31</f>
        <v>35.454545454545453</v>
      </c>
      <c r="U9" s="127">
        <v>220</v>
      </c>
      <c r="V9" s="127">
        <v>40</v>
      </c>
      <c r="W9" s="127" t="s">
        <v>242</v>
      </c>
      <c r="X9" s="127">
        <v>3900</v>
      </c>
      <c r="Y9" s="127"/>
      <c r="Z9" s="127">
        <v>3900</v>
      </c>
      <c r="AA9" s="127">
        <f t="shared" si="0"/>
        <v>35.454545454545453</v>
      </c>
      <c r="AB9" s="127"/>
      <c r="AC9" s="128">
        <f t="shared" si="1"/>
        <v>35.454545454545453</v>
      </c>
      <c r="AD9" s="112">
        <f>'Dimensionamento dos Cabos'!Q9</f>
        <v>40</v>
      </c>
    </row>
    <row r="10" spans="2:31" x14ac:dyDescent="0.25">
      <c r="B10" s="104" t="str">
        <f>Lâmpadas!A13</f>
        <v>Cozinha</v>
      </c>
      <c r="C10" s="105">
        <f>Lâmpadas!Z13</f>
        <v>140</v>
      </c>
      <c r="D10" s="105">
        <f>C10/F2</f>
        <v>0.63636363636363635</v>
      </c>
      <c r="E10" s="302"/>
      <c r="F10" s="305"/>
      <c r="I10" s="313" t="s">
        <v>97</v>
      </c>
      <c r="J10" s="314"/>
      <c r="K10" s="314"/>
      <c r="L10" s="108" t="s">
        <v>80</v>
      </c>
      <c r="M10" s="45">
        <v>220</v>
      </c>
      <c r="P10" s="109">
        <v>11</v>
      </c>
      <c r="Q10" s="130" t="s">
        <v>137</v>
      </c>
      <c r="R10" s="125">
        <f>L42</f>
        <v>2000</v>
      </c>
      <c r="S10" s="125">
        <f>R10*0.92</f>
        <v>1840</v>
      </c>
      <c r="T10" s="125">
        <f>M42</f>
        <v>9.0909090909090917</v>
      </c>
      <c r="U10" s="125">
        <v>220</v>
      </c>
      <c r="V10" s="125">
        <v>10</v>
      </c>
      <c r="W10" s="125" t="s">
        <v>242</v>
      </c>
      <c r="X10" s="125">
        <v>920</v>
      </c>
      <c r="Y10" s="125"/>
      <c r="Z10" s="125">
        <v>920</v>
      </c>
      <c r="AA10" s="125">
        <f t="shared" si="0"/>
        <v>9.0909090909090917</v>
      </c>
      <c r="AB10" s="125"/>
      <c r="AC10" s="126">
        <f t="shared" si="1"/>
        <v>9.0909090909090917</v>
      </c>
      <c r="AD10" s="112">
        <f>'Dimensionamento dos Cabos'!Q14</f>
        <v>10</v>
      </c>
    </row>
    <row r="11" spans="2:31" x14ac:dyDescent="0.25">
      <c r="B11" s="102" t="str">
        <f>Lâmpadas!A15</f>
        <v>Sala de Estar</v>
      </c>
      <c r="C11" s="103">
        <f>Lâmpadas!Z15</f>
        <v>168</v>
      </c>
      <c r="D11" s="103">
        <f>C11/F2</f>
        <v>0.76363636363636367</v>
      </c>
      <c r="E11" s="302"/>
      <c r="F11" s="305"/>
      <c r="I11" s="117" t="s">
        <v>43</v>
      </c>
      <c r="J11" s="117" t="s">
        <v>79</v>
      </c>
      <c r="K11" s="117" t="s">
        <v>82</v>
      </c>
      <c r="L11" s="117" t="s">
        <v>66</v>
      </c>
      <c r="M11" s="117" t="s">
        <v>81</v>
      </c>
      <c r="P11" s="110">
        <v>15</v>
      </c>
      <c r="Q11" s="129" t="s">
        <v>264</v>
      </c>
      <c r="R11" s="127">
        <f>L50</f>
        <v>1164</v>
      </c>
      <c r="S11" s="127">
        <f>R11*0.5</f>
        <v>582</v>
      </c>
      <c r="T11" s="127">
        <f>M50</f>
        <v>5.290909090909091</v>
      </c>
      <c r="U11" s="127">
        <v>220</v>
      </c>
      <c r="V11" s="127">
        <v>10</v>
      </c>
      <c r="W11" s="127" t="s">
        <v>240</v>
      </c>
      <c r="X11" s="127"/>
      <c r="Y11" s="127">
        <v>516</v>
      </c>
      <c r="Z11" s="127">
        <v>516</v>
      </c>
      <c r="AA11" s="127"/>
      <c r="AB11" s="127">
        <f t="shared" si="2"/>
        <v>5.290909090909091</v>
      </c>
      <c r="AC11" s="128">
        <f t="shared" si="1"/>
        <v>5.290909090909091</v>
      </c>
      <c r="AD11" s="112">
        <f>'Dimensionamento dos Cabos'!Q18</f>
        <v>10</v>
      </c>
    </row>
    <row r="12" spans="2:31" x14ac:dyDescent="0.25">
      <c r="B12" s="104" t="str">
        <f>Lâmpadas!A17</f>
        <v>Sala de Jantar</v>
      </c>
      <c r="C12" s="105">
        <f>Lâmpadas!Z17</f>
        <v>128</v>
      </c>
      <c r="D12" s="105">
        <f>C12/F2</f>
        <v>0.58181818181818179</v>
      </c>
      <c r="E12" s="302"/>
      <c r="F12" s="305"/>
      <c r="I12" s="118" t="str">
        <f>Tomadas!B11</f>
        <v>Cozinha</v>
      </c>
      <c r="J12" s="119">
        <f>Tomadas!M11</f>
        <v>2000</v>
      </c>
      <c r="K12" s="119">
        <f>J12/M2</f>
        <v>9.0909090909090917</v>
      </c>
      <c r="L12" s="78">
        <f>J12</f>
        <v>2000</v>
      </c>
      <c r="M12" s="78">
        <f>K12</f>
        <v>9.0909090909090917</v>
      </c>
      <c r="P12" s="109">
        <v>17</v>
      </c>
      <c r="Q12" s="130" t="s">
        <v>223</v>
      </c>
      <c r="R12" s="125">
        <f>E26</f>
        <v>4500</v>
      </c>
      <c r="S12" s="125">
        <f>R12*1</f>
        <v>4500</v>
      </c>
      <c r="T12" s="125">
        <f>F26</f>
        <v>20.454545454545453</v>
      </c>
      <c r="U12" s="125">
        <v>220</v>
      </c>
      <c r="V12" s="125">
        <v>25</v>
      </c>
      <c r="W12" s="125" t="s">
        <v>240</v>
      </c>
      <c r="X12" s="125"/>
      <c r="Y12" s="125">
        <v>2250</v>
      </c>
      <c r="Z12" s="125">
        <v>2250</v>
      </c>
      <c r="AA12" s="125"/>
      <c r="AB12" s="125">
        <f t="shared" si="2"/>
        <v>20.454545454545453</v>
      </c>
      <c r="AC12" s="126">
        <f t="shared" si="1"/>
        <v>20.454545454545453</v>
      </c>
      <c r="AD12" s="112">
        <f>'Dimensionamento dos Cabos'!Q20</f>
        <v>10</v>
      </c>
    </row>
    <row r="13" spans="2:31" x14ac:dyDescent="0.25">
      <c r="B13" s="104"/>
      <c r="C13" s="105"/>
      <c r="D13" s="105"/>
      <c r="E13" s="302"/>
      <c r="F13" s="305"/>
      <c r="I13" s="103"/>
      <c r="J13" s="103"/>
      <c r="K13" s="103"/>
      <c r="L13" s="201"/>
      <c r="M13" s="201"/>
      <c r="P13" s="110">
        <v>18</v>
      </c>
      <c r="Q13" s="129" t="s">
        <v>224</v>
      </c>
      <c r="R13" s="127">
        <f>E21</f>
        <v>2000</v>
      </c>
      <c r="S13" s="127">
        <f>R13*0.92</f>
        <v>1840</v>
      </c>
      <c r="T13" s="127">
        <f>F21</f>
        <v>9.0909090909090917</v>
      </c>
      <c r="U13" s="127">
        <v>220</v>
      </c>
      <c r="V13" s="127">
        <v>10</v>
      </c>
      <c r="W13" s="127" t="s">
        <v>240</v>
      </c>
      <c r="X13" s="127"/>
      <c r="Y13" s="127">
        <v>920</v>
      </c>
      <c r="Z13" s="127">
        <v>920</v>
      </c>
      <c r="AA13" s="127"/>
      <c r="AB13" s="127">
        <f t="shared" si="2"/>
        <v>9.0909090909090917</v>
      </c>
      <c r="AC13" s="128">
        <f t="shared" si="1"/>
        <v>9.0909090909090917</v>
      </c>
      <c r="AD13" s="112">
        <f>'Dimensionamento dos Cabos'!Q21</f>
        <v>25</v>
      </c>
    </row>
    <row r="14" spans="2:31" x14ac:dyDescent="0.25">
      <c r="B14" s="102" t="str">
        <f>Lâmpadas!A39</f>
        <v>Garagem</v>
      </c>
      <c r="C14" s="103">
        <f>Lâmpadas!Z39</f>
        <v>96</v>
      </c>
      <c r="D14" s="103">
        <f>C14/F2</f>
        <v>0.43636363636363634</v>
      </c>
      <c r="E14" s="302"/>
      <c r="F14" s="305"/>
      <c r="P14" s="109" t="s">
        <v>243</v>
      </c>
      <c r="Q14" s="125" t="s">
        <v>244</v>
      </c>
      <c r="R14" s="125">
        <v>40106</v>
      </c>
      <c r="S14" s="125">
        <f>S29</f>
        <v>28.65916</v>
      </c>
      <c r="T14" s="125">
        <f>T29</f>
        <v>182.3</v>
      </c>
      <c r="U14" s="125">
        <v>220</v>
      </c>
      <c r="V14" s="125"/>
      <c r="W14" s="125" t="s">
        <v>245</v>
      </c>
      <c r="X14" s="125">
        <v>14687</v>
      </c>
      <c r="Y14" s="125">
        <v>13747</v>
      </c>
      <c r="Z14" s="125">
        <v>10540</v>
      </c>
      <c r="AA14" s="125">
        <f t="shared" si="0"/>
        <v>182.3</v>
      </c>
      <c r="AB14" s="125">
        <f t="shared" si="2"/>
        <v>182.3</v>
      </c>
      <c r="AC14" s="126">
        <f t="shared" si="1"/>
        <v>182.3</v>
      </c>
    </row>
    <row r="15" spans="2:31" x14ac:dyDescent="0.25">
      <c r="B15" s="104" t="str">
        <f>Lâmpadas!A40</f>
        <v>Calçada</v>
      </c>
      <c r="C15" s="105">
        <f>Lâmpadas!Z40</f>
        <v>132</v>
      </c>
      <c r="D15" s="105">
        <f>C15/F2</f>
        <v>0.6</v>
      </c>
      <c r="E15" s="302"/>
      <c r="F15" s="305"/>
      <c r="I15" s="313" t="s">
        <v>96</v>
      </c>
      <c r="J15" s="314"/>
      <c r="K15" s="314"/>
      <c r="L15" s="108" t="s">
        <v>80</v>
      </c>
      <c r="M15" s="45">
        <v>220</v>
      </c>
      <c r="P15" s="198" t="s">
        <v>142</v>
      </c>
      <c r="Q15" s="199"/>
      <c r="R15" s="199">
        <f>SUM(R1:R14)</f>
        <v>66957</v>
      </c>
      <c r="S15" s="199">
        <f>'Cálculo de Demanda'!E21</f>
        <v>35.30227</v>
      </c>
      <c r="T15" s="199">
        <f>SUM(T4:T14)</f>
        <v>304.35000000000002</v>
      </c>
      <c r="U15" s="199">
        <v>220</v>
      </c>
      <c r="V15" s="199" t="s">
        <v>143</v>
      </c>
      <c r="W15" s="199"/>
      <c r="X15" s="199">
        <f t="shared" ref="X15:AC15" si="3">SUM(X4:X14)</f>
        <v>21647</v>
      </c>
      <c r="Y15" s="199">
        <f t="shared" si="3"/>
        <v>20493</v>
      </c>
      <c r="Z15" s="199">
        <f t="shared" si="3"/>
        <v>21806</v>
      </c>
      <c r="AA15" s="199">
        <f t="shared" si="3"/>
        <v>250.42272727272729</v>
      </c>
      <c r="AB15" s="199">
        <f t="shared" si="3"/>
        <v>250.71363636363637</v>
      </c>
      <c r="AC15" s="111">
        <f t="shared" si="3"/>
        <v>289.86363636363637</v>
      </c>
    </row>
    <row r="16" spans="2:31" x14ac:dyDescent="0.25">
      <c r="B16" s="106" t="str">
        <f>Lâmpadas!A41</f>
        <v>Fachada Casa</v>
      </c>
      <c r="C16" s="107">
        <f>Lâmpadas!Z41</f>
        <v>180</v>
      </c>
      <c r="D16" s="107">
        <f>C16/F2</f>
        <v>0.81818181818181823</v>
      </c>
      <c r="E16" s="303"/>
      <c r="F16" s="306"/>
      <c r="I16" s="99" t="s">
        <v>43</v>
      </c>
      <c r="J16" s="99" t="s">
        <v>79</v>
      </c>
      <c r="K16" s="99" t="s">
        <v>82</v>
      </c>
      <c r="L16" s="99" t="s">
        <v>66</v>
      </c>
      <c r="M16" s="99" t="s">
        <v>81</v>
      </c>
    </row>
    <row r="17" spans="2:29" x14ac:dyDescent="0.25">
      <c r="B17" s="116"/>
      <c r="C17" s="116"/>
      <c r="D17" s="116"/>
      <c r="E17" s="156"/>
      <c r="F17" s="156"/>
      <c r="I17" s="106" t="str">
        <f>Tomadas!B8</f>
        <v>Área de Serviço</v>
      </c>
      <c r="J17" s="107">
        <f>Tomadas!M8</f>
        <v>2000</v>
      </c>
      <c r="K17" s="107">
        <f>J17/M2</f>
        <v>9.0909090909090917</v>
      </c>
      <c r="L17" s="78">
        <f>J17</f>
        <v>2000</v>
      </c>
      <c r="M17" s="78">
        <f>K17</f>
        <v>9.0909090909090917</v>
      </c>
    </row>
    <row r="18" spans="2:29" x14ac:dyDescent="0.25">
      <c r="B18" s="116"/>
      <c r="C18" s="116"/>
      <c r="D18" s="116"/>
      <c r="E18" s="156"/>
      <c r="F18" s="156"/>
    </row>
    <row r="19" spans="2:29" x14ac:dyDescent="0.25">
      <c r="B19" s="313" t="s">
        <v>232</v>
      </c>
      <c r="C19" s="314"/>
      <c r="D19" s="314"/>
      <c r="E19" s="197" t="s">
        <v>80</v>
      </c>
      <c r="F19" s="45">
        <v>220</v>
      </c>
      <c r="I19" s="313" t="s">
        <v>114</v>
      </c>
      <c r="J19" s="314"/>
      <c r="K19" s="314"/>
      <c r="L19" s="108" t="s">
        <v>80</v>
      </c>
      <c r="M19" s="45">
        <v>220</v>
      </c>
      <c r="P19" s="319" t="s">
        <v>246</v>
      </c>
      <c r="Q19" s="320"/>
      <c r="R19" s="320"/>
      <c r="S19" s="320"/>
      <c r="T19" s="320"/>
      <c r="U19" s="320"/>
      <c r="V19" s="320"/>
      <c r="W19" s="320"/>
      <c r="X19" s="320"/>
      <c r="Y19" s="320"/>
      <c r="Z19" s="320"/>
      <c r="AA19" s="320"/>
      <c r="AB19" s="320"/>
      <c r="AC19" s="320"/>
    </row>
    <row r="20" spans="2:29" ht="30" x14ac:dyDescent="0.25">
      <c r="B20" s="99" t="s">
        <v>43</v>
      </c>
      <c r="C20" s="99" t="s">
        <v>79</v>
      </c>
      <c r="D20" s="99" t="s">
        <v>82</v>
      </c>
      <c r="E20" s="99" t="s">
        <v>66</v>
      </c>
      <c r="F20" s="99" t="s">
        <v>81</v>
      </c>
      <c r="I20" s="117" t="s">
        <v>43</v>
      </c>
      <c r="J20" s="117" t="s">
        <v>79</v>
      </c>
      <c r="K20" s="117" t="s">
        <v>82</v>
      </c>
      <c r="L20" s="117" t="s">
        <v>66</v>
      </c>
      <c r="M20" s="117" t="s">
        <v>81</v>
      </c>
      <c r="P20" s="124" t="s">
        <v>122</v>
      </c>
      <c r="Q20" s="124" t="s">
        <v>123</v>
      </c>
      <c r="R20" s="124" t="s">
        <v>124</v>
      </c>
      <c r="S20" s="124" t="s">
        <v>200</v>
      </c>
      <c r="T20" s="124" t="s">
        <v>125</v>
      </c>
      <c r="U20" s="124" t="s">
        <v>126</v>
      </c>
      <c r="V20" s="124" t="s">
        <v>141</v>
      </c>
      <c r="W20" s="216" t="s">
        <v>235</v>
      </c>
      <c r="X20" s="216" t="s">
        <v>238</v>
      </c>
      <c r="Y20" s="216" t="s">
        <v>236</v>
      </c>
      <c r="Z20" s="216" t="s">
        <v>237</v>
      </c>
      <c r="AA20" s="194" t="s">
        <v>247</v>
      </c>
      <c r="AB20" s="194" t="s">
        <v>248</v>
      </c>
      <c r="AC20" s="194" t="s">
        <v>249</v>
      </c>
    </row>
    <row r="21" spans="2:29" ht="30" x14ac:dyDescent="0.25">
      <c r="B21" s="106" t="str">
        <f>Tomadas!B9</f>
        <v>Máquina de Secar</v>
      </c>
      <c r="C21" s="107">
        <f>Tomadas!M9</f>
        <v>2000</v>
      </c>
      <c r="D21" s="107">
        <f>C21/F19</f>
        <v>9.0909090909090917</v>
      </c>
      <c r="E21" s="196">
        <f>C21</f>
        <v>2000</v>
      </c>
      <c r="F21" s="196">
        <f>D21</f>
        <v>9.0909090909090917</v>
      </c>
      <c r="I21" s="114" t="str">
        <f>Tomadas!B14</f>
        <v>Sala de Jantar</v>
      </c>
      <c r="J21" s="115">
        <f>Tomadas!M14</f>
        <v>100</v>
      </c>
      <c r="K21" s="115">
        <f>J21/M2</f>
        <v>0.45454545454545453</v>
      </c>
      <c r="L21" s="308">
        <f>SUM(J21:J27)</f>
        <v>2200</v>
      </c>
      <c r="M21" s="308">
        <f>L21/M19</f>
        <v>10</v>
      </c>
      <c r="P21" s="109">
        <v>7</v>
      </c>
      <c r="Q21" s="130" t="s">
        <v>133</v>
      </c>
      <c r="R21" s="125">
        <f>L31</f>
        <v>2000</v>
      </c>
      <c r="S21" s="125">
        <f>R21*0.92</f>
        <v>1840</v>
      </c>
      <c r="T21" s="125">
        <f>R21/U21</f>
        <v>9.0909090909090917</v>
      </c>
      <c r="U21" s="125">
        <v>220</v>
      </c>
      <c r="V21" s="125">
        <v>10</v>
      </c>
      <c r="W21" s="125" t="s">
        <v>239</v>
      </c>
      <c r="X21" s="125">
        <v>920</v>
      </c>
      <c r="Y21" s="125">
        <v>920</v>
      </c>
      <c r="Z21" s="125"/>
      <c r="AA21" s="125">
        <f>T21</f>
        <v>9.0909090909090917</v>
      </c>
      <c r="AB21" s="125">
        <f>T21</f>
        <v>9.0909090909090917</v>
      </c>
      <c r="AC21" s="126"/>
    </row>
    <row r="22" spans="2:29" x14ac:dyDescent="0.25">
      <c r="B22" s="116"/>
      <c r="C22" s="116"/>
      <c r="D22" s="116"/>
      <c r="E22" s="156"/>
      <c r="F22" s="156"/>
      <c r="I22" s="104" t="str">
        <f>Tomadas!B15</f>
        <v>Sala de Estar</v>
      </c>
      <c r="J22" s="105">
        <f>Tomadas!M15</f>
        <v>900</v>
      </c>
      <c r="K22" s="105">
        <f>J22/M2</f>
        <v>4.0909090909090908</v>
      </c>
      <c r="L22" s="308"/>
      <c r="M22" s="308"/>
      <c r="P22" s="110">
        <v>8</v>
      </c>
      <c r="Q22" s="129" t="s">
        <v>134</v>
      </c>
      <c r="R22" s="127">
        <f>E35</f>
        <v>2000</v>
      </c>
      <c r="S22" s="127">
        <f>R22*0.92</f>
        <v>1840</v>
      </c>
      <c r="T22" s="127">
        <f t="shared" ref="T22:T28" si="4">R22/U22</f>
        <v>9.0909090909090917</v>
      </c>
      <c r="U22" s="127">
        <v>220</v>
      </c>
      <c r="V22" s="127">
        <v>10</v>
      </c>
      <c r="W22" s="127" t="s">
        <v>240</v>
      </c>
      <c r="X22" s="127"/>
      <c r="Y22" s="127">
        <v>900</v>
      </c>
      <c r="Z22" s="127">
        <v>900</v>
      </c>
      <c r="AA22" s="127"/>
      <c r="AB22" s="127">
        <f t="shared" ref="AB22:AB28" si="5">T22</f>
        <v>9.0909090909090917</v>
      </c>
      <c r="AC22" s="128">
        <f t="shared" ref="AC22:AC26" si="6">T22</f>
        <v>9.0909090909090917</v>
      </c>
    </row>
    <row r="23" spans="2:29" x14ac:dyDescent="0.25">
      <c r="B23" s="116"/>
      <c r="C23" s="116"/>
      <c r="D23" s="116"/>
      <c r="E23" s="156"/>
      <c r="F23" s="156"/>
      <c r="I23" s="102" t="str">
        <f>Tomadas!B13</f>
        <v>Bancada Cozinha</v>
      </c>
      <c r="J23" s="103">
        <f>Tomadas!M13</f>
        <v>400</v>
      </c>
      <c r="K23" s="103">
        <f>J23/M2</f>
        <v>1.8181818181818181</v>
      </c>
      <c r="L23" s="308"/>
      <c r="M23" s="308"/>
      <c r="P23" s="109">
        <v>9</v>
      </c>
      <c r="Q23" s="130" t="s">
        <v>135</v>
      </c>
      <c r="R23" s="125">
        <f>L38</f>
        <v>7800</v>
      </c>
      <c r="S23" s="125">
        <f>R23*1</f>
        <v>7800</v>
      </c>
      <c r="T23" s="125">
        <f t="shared" si="4"/>
        <v>35.454545454545453</v>
      </c>
      <c r="U23" s="125">
        <v>220</v>
      </c>
      <c r="V23" s="125">
        <v>40</v>
      </c>
      <c r="W23" s="125" t="s">
        <v>239</v>
      </c>
      <c r="X23" s="125">
        <v>3900</v>
      </c>
      <c r="Y23" s="125">
        <v>3900</v>
      </c>
      <c r="Z23" s="125"/>
      <c r="AA23" s="125">
        <f t="shared" ref="AA23:AA28" si="7">T23</f>
        <v>35.454545454545453</v>
      </c>
      <c r="AB23" s="125">
        <f t="shared" si="5"/>
        <v>35.454545454545453</v>
      </c>
      <c r="AC23" s="126"/>
    </row>
    <row r="24" spans="2:29" x14ac:dyDescent="0.25">
      <c r="B24" s="313" t="s">
        <v>225</v>
      </c>
      <c r="C24" s="314"/>
      <c r="D24" s="314"/>
      <c r="E24" s="197" t="s">
        <v>80</v>
      </c>
      <c r="F24" s="45">
        <v>220</v>
      </c>
      <c r="I24" s="102" t="str">
        <f>Tomadas!B24</f>
        <v>Escada</v>
      </c>
      <c r="J24" s="103">
        <f>Tomadas!M24</f>
        <v>200</v>
      </c>
      <c r="K24" s="103">
        <f>J24/M29</f>
        <v>0.90909090909090906</v>
      </c>
      <c r="L24" s="308"/>
      <c r="M24" s="308"/>
      <c r="P24" s="110">
        <v>10</v>
      </c>
      <c r="Q24" s="129" t="s">
        <v>136</v>
      </c>
      <c r="R24" s="127">
        <f>E41</f>
        <v>7800</v>
      </c>
      <c r="S24" s="127">
        <f>R24*1</f>
        <v>7800</v>
      </c>
      <c r="T24" s="127">
        <f t="shared" si="4"/>
        <v>35.454545454545453</v>
      </c>
      <c r="U24" s="127">
        <v>220</v>
      </c>
      <c r="V24" s="127">
        <v>40</v>
      </c>
      <c r="W24" s="127" t="s">
        <v>240</v>
      </c>
      <c r="X24" s="127"/>
      <c r="Y24" s="127">
        <v>3900</v>
      </c>
      <c r="Z24" s="127">
        <v>3900</v>
      </c>
      <c r="AA24" s="127"/>
      <c r="AB24" s="127">
        <f t="shared" si="5"/>
        <v>35.454545454545453</v>
      </c>
      <c r="AC24" s="128">
        <f t="shared" si="6"/>
        <v>35.454545454545453</v>
      </c>
    </row>
    <row r="25" spans="2:29" x14ac:dyDescent="0.25">
      <c r="B25" s="99" t="s">
        <v>43</v>
      </c>
      <c r="C25" s="99" t="s">
        <v>79</v>
      </c>
      <c r="D25" s="99" t="s">
        <v>82</v>
      </c>
      <c r="E25" s="99" t="s">
        <v>66</v>
      </c>
      <c r="F25" s="99" t="s">
        <v>81</v>
      </c>
      <c r="I25" s="104" t="str">
        <f>Tomadas!B25</f>
        <v>Hall Escada</v>
      </c>
      <c r="J25" s="105">
        <f>Tomadas!M25</f>
        <v>200</v>
      </c>
      <c r="K25" s="105">
        <f>J25/M29</f>
        <v>0.90909090909090906</v>
      </c>
      <c r="L25" s="308"/>
      <c r="M25" s="308"/>
      <c r="P25" s="109">
        <v>12</v>
      </c>
      <c r="Q25" s="130" t="s">
        <v>138</v>
      </c>
      <c r="R25" s="125">
        <f>E45</f>
        <v>4000</v>
      </c>
      <c r="S25" s="125">
        <f>R25*0.92</f>
        <v>3680</v>
      </c>
      <c r="T25" s="125">
        <f t="shared" si="4"/>
        <v>18.181818181818183</v>
      </c>
      <c r="U25" s="125">
        <v>220</v>
      </c>
      <c r="V25" s="125">
        <v>20</v>
      </c>
      <c r="W25" s="125" t="s">
        <v>242</v>
      </c>
      <c r="X25" s="125">
        <v>1840</v>
      </c>
      <c r="Y25" s="125"/>
      <c r="Z25" s="125">
        <v>1840</v>
      </c>
      <c r="AA25" s="125">
        <f t="shared" si="7"/>
        <v>18.181818181818183</v>
      </c>
      <c r="AB25" s="125"/>
      <c r="AC25" s="126">
        <f t="shared" si="6"/>
        <v>18.181818181818183</v>
      </c>
    </row>
    <row r="26" spans="2:29" x14ac:dyDescent="0.25">
      <c r="B26" s="106" t="str">
        <f>Tomadas!B12</f>
        <v>Forno Elétrico</v>
      </c>
      <c r="C26" s="107">
        <f>Tomadas!M12</f>
        <v>4500</v>
      </c>
      <c r="D26" s="107">
        <f>C26/F24</f>
        <v>20.454545454545453</v>
      </c>
      <c r="E26" s="196">
        <f>C26</f>
        <v>4500</v>
      </c>
      <c r="F26" s="196">
        <f>D26</f>
        <v>20.454545454545453</v>
      </c>
      <c r="I26" s="102" t="s">
        <v>33</v>
      </c>
      <c r="J26" s="103">
        <f>Tomadas!M19</f>
        <v>200</v>
      </c>
      <c r="K26" s="103">
        <f>J26/M19</f>
        <v>0.90909090909090906</v>
      </c>
      <c r="L26" s="308"/>
      <c r="M26" s="308"/>
      <c r="P26" s="110">
        <v>13</v>
      </c>
      <c r="Q26" s="129" t="s">
        <v>139</v>
      </c>
      <c r="R26" s="127">
        <f>L46</f>
        <v>7800</v>
      </c>
      <c r="S26" s="127">
        <f>R26*1</f>
        <v>7800</v>
      </c>
      <c r="T26" s="127">
        <f t="shared" si="4"/>
        <v>35.454545454545453</v>
      </c>
      <c r="U26" s="127">
        <v>220</v>
      </c>
      <c r="V26" s="127">
        <v>40</v>
      </c>
      <c r="W26" s="127" t="s">
        <v>242</v>
      </c>
      <c r="X26" s="127">
        <v>3900</v>
      </c>
      <c r="Y26" s="127"/>
      <c r="Z26" s="127">
        <v>3900</v>
      </c>
      <c r="AA26" s="127">
        <f t="shared" si="7"/>
        <v>35.454545454545453</v>
      </c>
      <c r="AB26" s="127"/>
      <c r="AC26" s="128">
        <f t="shared" si="6"/>
        <v>35.454545454545453</v>
      </c>
    </row>
    <row r="27" spans="2:29" x14ac:dyDescent="0.25">
      <c r="B27" s="120"/>
      <c r="C27" s="120"/>
      <c r="D27" s="120"/>
      <c r="E27" s="120"/>
      <c r="F27" s="120"/>
      <c r="I27" s="122" t="s">
        <v>183</v>
      </c>
      <c r="J27" s="123">
        <f>Tomadas!M33</f>
        <v>200</v>
      </c>
      <c r="K27" s="123">
        <f>J27/M19</f>
        <v>0.90909090909090906</v>
      </c>
      <c r="L27" s="308"/>
      <c r="M27" s="308"/>
      <c r="P27" s="109">
        <v>14</v>
      </c>
      <c r="Q27" s="130" t="s">
        <v>140</v>
      </c>
      <c r="R27" s="125">
        <f>E49</f>
        <v>7800</v>
      </c>
      <c r="S27" s="125">
        <f>R27*1</f>
        <v>7800</v>
      </c>
      <c r="T27" s="125">
        <f t="shared" si="4"/>
        <v>35.454545454545453</v>
      </c>
      <c r="U27" s="125">
        <v>220</v>
      </c>
      <c r="V27" s="125">
        <v>40</v>
      </c>
      <c r="W27" s="125" t="s">
        <v>239</v>
      </c>
      <c r="X27" s="125">
        <v>3900</v>
      </c>
      <c r="Y27" s="125">
        <v>3900</v>
      </c>
      <c r="Z27" s="125"/>
      <c r="AA27" s="125">
        <f t="shared" si="7"/>
        <v>35.454545454545453</v>
      </c>
      <c r="AB27" s="125">
        <f t="shared" si="5"/>
        <v>35.454545454545453</v>
      </c>
      <c r="AC27" s="126"/>
    </row>
    <row r="28" spans="2:29" x14ac:dyDescent="0.25">
      <c r="B28" s="121"/>
      <c r="C28" s="121"/>
      <c r="D28" s="120"/>
      <c r="E28" s="120"/>
      <c r="F28" s="120"/>
      <c r="P28" s="110">
        <v>16</v>
      </c>
      <c r="Q28" s="127" t="s">
        <v>233</v>
      </c>
      <c r="R28" s="127">
        <f>L55</f>
        <v>906</v>
      </c>
      <c r="S28" s="127">
        <f>R28*0.5</f>
        <v>453</v>
      </c>
      <c r="T28" s="127">
        <f t="shared" si="4"/>
        <v>4.1181818181818182</v>
      </c>
      <c r="U28" s="127">
        <v>220</v>
      </c>
      <c r="V28" s="127">
        <v>10</v>
      </c>
      <c r="W28" s="127" t="s">
        <v>240</v>
      </c>
      <c r="X28" s="127">
        <v>227</v>
      </c>
      <c r="Y28" s="127">
        <v>227</v>
      </c>
      <c r="Z28" s="127"/>
      <c r="AA28" s="127">
        <f t="shared" si="7"/>
        <v>4.1181818181818182</v>
      </c>
      <c r="AB28" s="127">
        <f t="shared" si="5"/>
        <v>4.1181818181818182</v>
      </c>
      <c r="AC28" s="128"/>
    </row>
    <row r="29" spans="2:29" x14ac:dyDescent="0.25">
      <c r="B29" s="313" t="s">
        <v>115</v>
      </c>
      <c r="C29" s="314"/>
      <c r="D29" s="314"/>
      <c r="E29" s="108" t="s">
        <v>80</v>
      </c>
      <c r="F29" s="45">
        <v>220</v>
      </c>
      <c r="I29" s="313" t="s">
        <v>98</v>
      </c>
      <c r="J29" s="314"/>
      <c r="K29" s="314"/>
      <c r="L29" s="108" t="s">
        <v>80</v>
      </c>
      <c r="M29" s="45">
        <v>220</v>
      </c>
      <c r="P29" s="219" t="s">
        <v>142</v>
      </c>
      <c r="Q29" s="220"/>
      <c r="R29" s="220">
        <f>SUM(R21:R28)</f>
        <v>40106</v>
      </c>
      <c r="S29" s="220">
        <f>'Cálculo de Demanda'!E38</f>
        <v>28.65916</v>
      </c>
      <c r="T29" s="220">
        <f>SUM(T21:T28)</f>
        <v>182.3</v>
      </c>
      <c r="U29" s="220">
        <v>220</v>
      </c>
      <c r="V29" s="220" t="s">
        <v>143</v>
      </c>
      <c r="W29" s="220" t="s">
        <v>143</v>
      </c>
      <c r="X29" s="220">
        <f t="shared" ref="X29:AC29" si="8">SUM(X21:X28)</f>
        <v>14687</v>
      </c>
      <c r="Y29" s="220">
        <f t="shared" si="8"/>
        <v>13747</v>
      </c>
      <c r="Z29" s="220">
        <f t="shared" si="8"/>
        <v>10540</v>
      </c>
      <c r="AA29" s="220">
        <f t="shared" si="8"/>
        <v>137.75454545454545</v>
      </c>
      <c r="AB29" s="220">
        <f t="shared" si="8"/>
        <v>128.66363636363636</v>
      </c>
      <c r="AC29" s="221">
        <f t="shared" si="8"/>
        <v>98.181818181818187</v>
      </c>
    </row>
    <row r="30" spans="2:29" x14ac:dyDescent="0.25">
      <c r="B30" s="99" t="s">
        <v>43</v>
      </c>
      <c r="C30" s="99" t="s">
        <v>79</v>
      </c>
      <c r="D30" s="99" t="s">
        <v>82</v>
      </c>
      <c r="E30" s="99" t="s">
        <v>66</v>
      </c>
      <c r="F30" s="113" t="s">
        <v>81</v>
      </c>
      <c r="I30" s="99" t="s">
        <v>43</v>
      </c>
      <c r="J30" s="99" t="s">
        <v>79</v>
      </c>
      <c r="K30" s="99" t="s">
        <v>82</v>
      </c>
      <c r="L30" s="99" t="s">
        <v>66</v>
      </c>
      <c r="M30" s="113" t="s">
        <v>81</v>
      </c>
    </row>
    <row r="31" spans="2:29" x14ac:dyDescent="0.25">
      <c r="B31" s="106" t="str">
        <f>Tomadas!B27</f>
        <v>Chuveiro WC Hóspedes</v>
      </c>
      <c r="C31" s="107">
        <f>Tomadas!M27</f>
        <v>7800</v>
      </c>
      <c r="D31" s="107">
        <f>C31/F29</f>
        <v>35.454545454545453</v>
      </c>
      <c r="E31" s="78">
        <f>C31</f>
        <v>7800</v>
      </c>
      <c r="F31" s="78">
        <f>D31</f>
        <v>35.454545454545453</v>
      </c>
      <c r="I31" s="114" t="str">
        <f>Tomadas!B18</f>
        <v>Suite 2</v>
      </c>
      <c r="J31" s="115">
        <f>Tomadas!M18</f>
        <v>400</v>
      </c>
      <c r="K31" s="115">
        <f>J31/M29</f>
        <v>1.8181818181818181</v>
      </c>
      <c r="L31" s="315">
        <f>J31+J32+J33+J34</f>
        <v>2000</v>
      </c>
      <c r="M31" s="315">
        <f>K31+K32+K33+K34</f>
        <v>9.0909090909090899</v>
      </c>
    </row>
    <row r="32" spans="2:29" x14ac:dyDescent="0.25">
      <c r="I32" s="104" t="str">
        <f>Tomadas!B20</f>
        <v>WC 1</v>
      </c>
      <c r="J32" s="105">
        <f>Tomadas!M20</f>
        <v>600</v>
      </c>
      <c r="K32" s="105">
        <f>J32/M29</f>
        <v>2.7272727272727271</v>
      </c>
      <c r="L32" s="316"/>
      <c r="M32" s="316"/>
    </row>
    <row r="33" spans="2:13" x14ac:dyDescent="0.25">
      <c r="B33" s="313" t="s">
        <v>99</v>
      </c>
      <c r="C33" s="314"/>
      <c r="D33" s="314"/>
      <c r="E33" s="108" t="s">
        <v>80</v>
      </c>
      <c r="F33" s="45">
        <v>220</v>
      </c>
      <c r="I33" s="102" t="str">
        <f>Tomadas!B21</f>
        <v>WC 2</v>
      </c>
      <c r="J33" s="103">
        <f>Tomadas!M21</f>
        <v>600</v>
      </c>
      <c r="K33" s="103">
        <f>J33/M29</f>
        <v>2.7272727272727271</v>
      </c>
      <c r="L33" s="316"/>
      <c r="M33" s="316"/>
    </row>
    <row r="34" spans="2:13" x14ac:dyDescent="0.25">
      <c r="B34" s="99" t="s">
        <v>43</v>
      </c>
      <c r="C34" s="99" t="s">
        <v>79</v>
      </c>
      <c r="D34" s="99" t="s">
        <v>82</v>
      </c>
      <c r="E34" s="99" t="s">
        <v>66</v>
      </c>
      <c r="F34" s="113" t="s">
        <v>81</v>
      </c>
      <c r="I34" s="122" t="str">
        <f>Tomadas!B23</f>
        <v>Suite 1</v>
      </c>
      <c r="J34" s="123">
        <f>Tomadas!M23</f>
        <v>400</v>
      </c>
      <c r="K34" s="123">
        <f>J34/M29</f>
        <v>1.8181818181818181</v>
      </c>
      <c r="L34" s="317"/>
      <c r="M34" s="317"/>
    </row>
    <row r="35" spans="2:13" x14ac:dyDescent="0.25">
      <c r="B35" s="114" t="s">
        <v>30</v>
      </c>
      <c r="C35" s="115">
        <v>200</v>
      </c>
      <c r="D35" s="115">
        <v>0.90909090909090906</v>
      </c>
      <c r="E35" s="315">
        <f>C35+C36+C37</f>
        <v>2000</v>
      </c>
      <c r="F35" s="315">
        <f>D35+D36+D37</f>
        <v>9.0909090909090899</v>
      </c>
    </row>
    <row r="36" spans="2:13" x14ac:dyDescent="0.25">
      <c r="B36" s="104" t="s">
        <v>31</v>
      </c>
      <c r="C36" s="105">
        <v>400</v>
      </c>
      <c r="D36" s="105">
        <v>1.8181818181818181</v>
      </c>
      <c r="E36" s="316"/>
      <c r="F36" s="316"/>
      <c r="I36" s="313" t="s">
        <v>116</v>
      </c>
      <c r="J36" s="314"/>
      <c r="K36" s="314"/>
      <c r="L36" s="108" t="s">
        <v>80</v>
      </c>
      <c r="M36" s="45">
        <v>220</v>
      </c>
    </row>
    <row r="37" spans="2:13" x14ac:dyDescent="0.25">
      <c r="B37" s="106" t="s">
        <v>36</v>
      </c>
      <c r="C37" s="107">
        <v>1400</v>
      </c>
      <c r="D37" s="107">
        <v>6.3636363636363633</v>
      </c>
      <c r="E37" s="317"/>
      <c r="F37" s="317"/>
      <c r="I37" s="99" t="s">
        <v>43</v>
      </c>
      <c r="J37" s="99" t="s">
        <v>79</v>
      </c>
      <c r="K37" s="99" t="s">
        <v>82</v>
      </c>
      <c r="L37" s="99" t="s">
        <v>66</v>
      </c>
      <c r="M37" s="113" t="s">
        <v>81</v>
      </c>
    </row>
    <row r="38" spans="2:13" x14ac:dyDescent="0.25">
      <c r="I38" s="106" t="str">
        <f>Tomadas!B30</f>
        <v>Chuveiro WC Casal 1</v>
      </c>
      <c r="J38" s="107">
        <f>Tomadas!M30</f>
        <v>7800</v>
      </c>
      <c r="K38" s="107">
        <f>J38/M36</f>
        <v>35.454545454545453</v>
      </c>
      <c r="L38" s="78">
        <f>J38</f>
        <v>7800</v>
      </c>
      <c r="M38" s="78">
        <f>K38</f>
        <v>35.454545454545453</v>
      </c>
    </row>
    <row r="39" spans="2:13" x14ac:dyDescent="0.25">
      <c r="B39" s="313" t="s">
        <v>117</v>
      </c>
      <c r="C39" s="314"/>
      <c r="D39" s="108"/>
      <c r="E39" s="108" t="s">
        <v>80</v>
      </c>
      <c r="F39" s="45">
        <v>220</v>
      </c>
    </row>
    <row r="40" spans="2:13" x14ac:dyDescent="0.25">
      <c r="B40" s="99" t="s">
        <v>43</v>
      </c>
      <c r="C40" s="99" t="s">
        <v>79</v>
      </c>
      <c r="D40" s="99" t="s">
        <v>82</v>
      </c>
      <c r="E40" s="99" t="s">
        <v>66</v>
      </c>
      <c r="F40" s="113" t="s">
        <v>81</v>
      </c>
      <c r="I40" s="313" t="s">
        <v>101</v>
      </c>
      <c r="J40" s="314"/>
      <c r="K40" s="314"/>
      <c r="L40" s="108" t="s">
        <v>80</v>
      </c>
      <c r="M40" s="45">
        <v>220</v>
      </c>
    </row>
    <row r="41" spans="2:13" x14ac:dyDescent="0.25">
      <c r="B41" s="106" t="str">
        <f>Tomadas!B31</f>
        <v>Chuveiro WC Casal 2</v>
      </c>
      <c r="C41" s="107">
        <f>Tomadas!M31</f>
        <v>7800</v>
      </c>
      <c r="D41" s="107">
        <f>C41/F39</f>
        <v>35.454545454545453</v>
      </c>
      <c r="E41" s="78">
        <f>C41</f>
        <v>7800</v>
      </c>
      <c r="F41" s="78">
        <f>D41</f>
        <v>35.454545454545453</v>
      </c>
      <c r="I41" s="99" t="s">
        <v>43</v>
      </c>
      <c r="J41" s="99" t="s">
        <v>79</v>
      </c>
      <c r="K41" s="99" t="s">
        <v>82</v>
      </c>
      <c r="L41" s="99" t="s">
        <v>66</v>
      </c>
      <c r="M41" s="113" t="s">
        <v>81</v>
      </c>
    </row>
    <row r="42" spans="2:13" x14ac:dyDescent="0.25">
      <c r="I42" s="106" t="str">
        <f>Tomadas!B26</f>
        <v>Garagem</v>
      </c>
      <c r="J42" s="107">
        <f>Tomadas!M26</f>
        <v>2000</v>
      </c>
      <c r="K42" s="107">
        <f>J42/M40</f>
        <v>9.0909090909090917</v>
      </c>
      <c r="L42" s="78">
        <f>J42</f>
        <v>2000</v>
      </c>
      <c r="M42" s="78">
        <f>K42</f>
        <v>9.0909090909090917</v>
      </c>
    </row>
    <row r="43" spans="2:13" x14ac:dyDescent="0.25">
      <c r="B43" s="313" t="s">
        <v>118</v>
      </c>
      <c r="C43" s="314"/>
      <c r="D43" s="314"/>
      <c r="E43" s="108" t="s">
        <v>80</v>
      </c>
      <c r="F43" s="45">
        <v>220</v>
      </c>
    </row>
    <row r="44" spans="2:13" x14ac:dyDescent="0.25">
      <c r="B44" s="99" t="s">
        <v>43</v>
      </c>
      <c r="C44" s="99" t="s">
        <v>79</v>
      </c>
      <c r="D44" s="99" t="s">
        <v>82</v>
      </c>
      <c r="E44" s="99" t="s">
        <v>66</v>
      </c>
      <c r="F44" s="113" t="s">
        <v>81</v>
      </c>
      <c r="I44" s="313" t="s">
        <v>112</v>
      </c>
      <c r="J44" s="314"/>
      <c r="K44" s="314"/>
      <c r="L44" s="108" t="s">
        <v>80</v>
      </c>
      <c r="M44" s="45">
        <v>220</v>
      </c>
    </row>
    <row r="45" spans="2:13" x14ac:dyDescent="0.25">
      <c r="B45" s="106" t="str">
        <f>Tomadas!B32</f>
        <v>Banheira</v>
      </c>
      <c r="C45" s="107">
        <f>Tomadas!M32</f>
        <v>4000</v>
      </c>
      <c r="D45" s="107">
        <f>C45/F43</f>
        <v>18.181818181818183</v>
      </c>
      <c r="E45" s="78">
        <f>C45</f>
        <v>4000</v>
      </c>
      <c r="F45" s="78">
        <f>D45</f>
        <v>18.181818181818183</v>
      </c>
      <c r="I45" s="99" t="s">
        <v>43</v>
      </c>
      <c r="J45" s="99" t="s">
        <v>79</v>
      </c>
      <c r="K45" s="99" t="s">
        <v>82</v>
      </c>
      <c r="L45" s="99" t="s">
        <v>66</v>
      </c>
      <c r="M45" s="113" t="s">
        <v>81</v>
      </c>
    </row>
    <row r="46" spans="2:13" x14ac:dyDescent="0.25">
      <c r="I46" s="106" t="str">
        <f>Tomadas!B28</f>
        <v>Chuveiro WC Suite 1</v>
      </c>
      <c r="J46" s="107">
        <f>Tomadas!M28</f>
        <v>7800</v>
      </c>
      <c r="K46" s="107">
        <f>J46/M44</f>
        <v>35.454545454545453</v>
      </c>
      <c r="L46" s="78">
        <f>J46</f>
        <v>7800</v>
      </c>
      <c r="M46" s="78">
        <f>K46</f>
        <v>35.454545454545453</v>
      </c>
    </row>
    <row r="47" spans="2:13" x14ac:dyDescent="0.25">
      <c r="B47" s="313" t="s">
        <v>113</v>
      </c>
      <c r="C47" s="314"/>
      <c r="D47" s="314"/>
      <c r="E47" s="108" t="s">
        <v>80</v>
      </c>
      <c r="F47" s="45">
        <v>220</v>
      </c>
    </row>
    <row r="48" spans="2:13" x14ac:dyDescent="0.25">
      <c r="B48" s="99" t="s">
        <v>43</v>
      </c>
      <c r="C48" s="99" t="s">
        <v>79</v>
      </c>
      <c r="D48" s="99" t="s">
        <v>82</v>
      </c>
      <c r="E48" s="99" t="s">
        <v>66</v>
      </c>
      <c r="F48" s="113" t="s">
        <v>81</v>
      </c>
      <c r="I48" s="313" t="s">
        <v>191</v>
      </c>
      <c r="J48" s="314"/>
      <c r="K48" s="314"/>
      <c r="L48" s="108" t="s">
        <v>80</v>
      </c>
      <c r="M48" s="45">
        <v>220</v>
      </c>
    </row>
    <row r="49" spans="2:13" x14ac:dyDescent="0.25">
      <c r="B49" s="106" t="str">
        <f>Tomadas!B29</f>
        <v>Chuveiro WC Suite 2</v>
      </c>
      <c r="C49" s="107">
        <f>Tomadas!M29</f>
        <v>7800</v>
      </c>
      <c r="D49" s="107">
        <f>C49/F47</f>
        <v>35.454545454545453</v>
      </c>
      <c r="E49" s="78">
        <f>C49</f>
        <v>7800</v>
      </c>
      <c r="F49" s="78">
        <f>D49</f>
        <v>35.454545454545453</v>
      </c>
      <c r="I49" s="99" t="s">
        <v>43</v>
      </c>
      <c r="J49" s="99" t="s">
        <v>79</v>
      </c>
      <c r="K49" s="99" t="s">
        <v>82</v>
      </c>
      <c r="L49" s="99" t="s">
        <v>66</v>
      </c>
      <c r="M49" s="113" t="s">
        <v>81</v>
      </c>
    </row>
    <row r="50" spans="2:13" x14ac:dyDescent="0.25">
      <c r="I50" s="102" t="str">
        <f>Lâmpadas!A42</f>
        <v>Iluminação do Jardim</v>
      </c>
      <c r="J50" s="103">
        <f>Lâmpadas!Z42</f>
        <v>1164</v>
      </c>
      <c r="K50" s="103">
        <f>J50/M48</f>
        <v>5.290909090909091</v>
      </c>
      <c r="L50" s="78">
        <f>J50+J51</f>
        <v>1164</v>
      </c>
      <c r="M50" s="78">
        <f>K50+K51</f>
        <v>5.290909090909091</v>
      </c>
    </row>
    <row r="51" spans="2:13" x14ac:dyDescent="0.25">
      <c r="I51" s="120"/>
      <c r="J51" s="120"/>
      <c r="K51" s="120"/>
      <c r="L51" s="161"/>
      <c r="M51" s="120"/>
    </row>
    <row r="53" spans="2:13" x14ac:dyDescent="0.25">
      <c r="I53" s="313" t="s">
        <v>231</v>
      </c>
      <c r="J53" s="314"/>
      <c r="K53" s="314"/>
      <c r="L53" s="151" t="s">
        <v>80</v>
      </c>
      <c r="M53" s="45">
        <v>220</v>
      </c>
    </row>
    <row r="54" spans="2:13" x14ac:dyDescent="0.25">
      <c r="I54" s="99" t="s">
        <v>43</v>
      </c>
      <c r="J54" s="99" t="s">
        <v>79</v>
      </c>
      <c r="K54" s="99" t="s">
        <v>82</v>
      </c>
      <c r="L54" s="99" t="s">
        <v>66</v>
      </c>
      <c r="M54" s="113" t="s">
        <v>81</v>
      </c>
    </row>
    <row r="55" spans="2:13" x14ac:dyDescent="0.25">
      <c r="I55" s="114" t="str">
        <f>Lâmpadas!A18</f>
        <v>Sacada</v>
      </c>
      <c r="J55" s="115">
        <f>Lâmpadas!Z18</f>
        <v>22</v>
      </c>
      <c r="K55" s="115">
        <f>J55/F2</f>
        <v>0.1</v>
      </c>
      <c r="L55" s="301">
        <f>SUM(J55:J64)</f>
        <v>906</v>
      </c>
      <c r="M55" s="318">
        <f>SUM(K55:K64)</f>
        <v>4.1181818181818182</v>
      </c>
    </row>
    <row r="56" spans="2:13" x14ac:dyDescent="0.25">
      <c r="I56" s="104" t="str">
        <f>Lâmpadas!A19</f>
        <v>Suite casal</v>
      </c>
      <c r="J56" s="105">
        <f>Lâmpadas!Z19</f>
        <v>134</v>
      </c>
      <c r="K56" s="105">
        <f>J56/F2</f>
        <v>0.60909090909090913</v>
      </c>
      <c r="L56" s="302"/>
      <c r="M56" s="305"/>
    </row>
    <row r="57" spans="2:13" x14ac:dyDescent="0.25">
      <c r="I57" s="102" t="str">
        <f>Lâmpadas!A22</f>
        <v>Suite 2</v>
      </c>
      <c r="J57" s="103">
        <f>Lâmpadas!Z22</f>
        <v>126</v>
      </c>
      <c r="K57" s="103">
        <f>J57/F2</f>
        <v>0.57272727272727275</v>
      </c>
      <c r="L57" s="302"/>
      <c r="M57" s="305"/>
    </row>
    <row r="58" spans="2:13" x14ac:dyDescent="0.25">
      <c r="I58" s="104" t="str">
        <f>Lâmpadas!A24</f>
        <v>Closet</v>
      </c>
      <c r="J58" s="105">
        <f>Lâmpadas!Z24</f>
        <v>72</v>
      </c>
      <c r="K58" s="105">
        <f>J58/F2</f>
        <v>0.32727272727272727</v>
      </c>
      <c r="L58" s="302"/>
      <c r="M58" s="305"/>
    </row>
    <row r="59" spans="2:13" x14ac:dyDescent="0.25">
      <c r="I59" s="102" t="str">
        <f>Lâmpadas!A26</f>
        <v>WC 1</v>
      </c>
      <c r="J59" s="103">
        <f>Lâmpadas!Z26</f>
        <v>74</v>
      </c>
      <c r="K59" s="103">
        <f>J59/F2</f>
        <v>0.33636363636363636</v>
      </c>
      <c r="L59" s="302"/>
      <c r="M59" s="305"/>
    </row>
    <row r="60" spans="2:13" x14ac:dyDescent="0.25">
      <c r="I60" s="104" t="str">
        <f>Lâmpadas!A28</f>
        <v>WC 2</v>
      </c>
      <c r="J60" s="105">
        <f>Lâmpadas!Z28</f>
        <v>74</v>
      </c>
      <c r="K60" s="105">
        <f>J60/F2</f>
        <v>0.33636363636363636</v>
      </c>
      <c r="L60" s="302"/>
      <c r="M60" s="305"/>
    </row>
    <row r="61" spans="2:13" x14ac:dyDescent="0.25">
      <c r="H61" s="116"/>
      <c r="I61" s="102" t="str">
        <f>Lâmpadas!A30</f>
        <v>Banho</v>
      </c>
      <c r="J61" s="103">
        <f>Lâmpadas!Z30</f>
        <v>136</v>
      </c>
      <c r="K61" s="103">
        <f>J61/F2</f>
        <v>0.61818181818181817</v>
      </c>
      <c r="L61" s="302"/>
      <c r="M61" s="305"/>
    </row>
    <row r="62" spans="2:13" x14ac:dyDescent="0.25">
      <c r="H62" s="116"/>
      <c r="I62" s="104" t="str">
        <f>Lâmpadas!A33</f>
        <v>Suite 1</v>
      </c>
      <c r="J62" s="105">
        <f>Lâmpadas!Z33</f>
        <v>142</v>
      </c>
      <c r="K62" s="105">
        <f>J62/F2</f>
        <v>0.6454545454545455</v>
      </c>
      <c r="L62" s="302"/>
      <c r="M62" s="305"/>
    </row>
    <row r="63" spans="2:13" x14ac:dyDescent="0.25">
      <c r="H63" s="116"/>
      <c r="I63" s="102" t="str">
        <f>Lâmpadas!A36</f>
        <v>Escada</v>
      </c>
      <c r="J63" s="103">
        <f>Lâmpadas!Z36</f>
        <v>34</v>
      </c>
      <c r="K63" s="103">
        <f>J63/F2</f>
        <v>0.15454545454545454</v>
      </c>
      <c r="L63" s="302"/>
      <c r="M63" s="305"/>
    </row>
    <row r="64" spans="2:13" x14ac:dyDescent="0.25">
      <c r="H64" s="116"/>
      <c r="I64" s="122" t="str">
        <f>Lâmpadas!A37</f>
        <v>Hall Escada</v>
      </c>
      <c r="J64" s="123">
        <f>Lâmpadas!Z37</f>
        <v>92</v>
      </c>
      <c r="K64" s="123">
        <f>J64/F2</f>
        <v>0.41818181818181815</v>
      </c>
      <c r="L64" s="303"/>
      <c r="M64" s="306"/>
    </row>
    <row r="65" spans="8:12" x14ac:dyDescent="0.25">
      <c r="H65" s="116"/>
      <c r="I65" s="116"/>
      <c r="J65" s="116"/>
      <c r="K65" s="116"/>
      <c r="L65" s="116"/>
    </row>
    <row r="66" spans="8:12" x14ac:dyDescent="0.25">
      <c r="H66" s="116"/>
      <c r="I66" s="116"/>
      <c r="J66" s="116"/>
      <c r="K66" s="116"/>
      <c r="L66" s="116"/>
    </row>
    <row r="67" spans="8:12" x14ac:dyDescent="0.25">
      <c r="H67" s="116"/>
      <c r="I67" s="116"/>
      <c r="J67" s="116"/>
      <c r="K67" s="116"/>
      <c r="L67" s="116"/>
    </row>
    <row r="68" spans="8:12" x14ac:dyDescent="0.25">
      <c r="H68" s="116"/>
      <c r="I68" s="116"/>
      <c r="J68" s="116"/>
      <c r="K68" s="116"/>
      <c r="L68" s="116"/>
    </row>
    <row r="69" spans="8:12" x14ac:dyDescent="0.25">
      <c r="H69" s="116"/>
      <c r="I69" s="116"/>
      <c r="J69" s="116"/>
      <c r="K69" s="116"/>
      <c r="L69" s="116"/>
    </row>
    <row r="70" spans="8:12" x14ac:dyDescent="0.25">
      <c r="H70" s="116"/>
      <c r="I70" s="116"/>
      <c r="J70" s="116"/>
      <c r="K70" s="116"/>
      <c r="L70" s="116"/>
    </row>
    <row r="71" spans="8:12" x14ac:dyDescent="0.25">
      <c r="H71" s="116"/>
      <c r="I71" s="116"/>
      <c r="J71" s="116"/>
      <c r="K71" s="116"/>
      <c r="L71" s="116"/>
    </row>
    <row r="72" spans="8:12" x14ac:dyDescent="0.25">
      <c r="H72" s="116"/>
      <c r="I72" s="116"/>
      <c r="J72" s="116"/>
      <c r="K72" s="116"/>
      <c r="L72" s="116"/>
    </row>
    <row r="73" spans="8:12" x14ac:dyDescent="0.25">
      <c r="H73" s="116"/>
      <c r="I73" s="116"/>
      <c r="J73" s="116"/>
      <c r="K73" s="116"/>
      <c r="L73" s="116"/>
    </row>
    <row r="74" spans="8:12" x14ac:dyDescent="0.25">
      <c r="H74" s="116"/>
      <c r="I74" s="116"/>
      <c r="J74" s="116"/>
      <c r="K74" s="116"/>
      <c r="L74" s="116"/>
    </row>
    <row r="75" spans="8:12" x14ac:dyDescent="0.25">
      <c r="H75" s="116"/>
      <c r="I75" s="116"/>
      <c r="J75" s="116"/>
      <c r="K75" s="116"/>
      <c r="L75" s="116"/>
    </row>
    <row r="76" spans="8:12" x14ac:dyDescent="0.25">
      <c r="H76" s="116"/>
      <c r="I76" s="116"/>
      <c r="J76" s="116"/>
      <c r="K76" s="116"/>
      <c r="L76" s="116"/>
    </row>
    <row r="77" spans="8:12" x14ac:dyDescent="0.25">
      <c r="H77" s="116"/>
      <c r="I77" s="116"/>
      <c r="J77" s="116"/>
      <c r="K77" s="116"/>
      <c r="L77" s="116"/>
    </row>
  </sheetData>
  <mergeCells count="32">
    <mergeCell ref="I53:K53"/>
    <mergeCell ref="L55:L64"/>
    <mergeCell ref="M55:M64"/>
    <mergeCell ref="I10:K10"/>
    <mergeCell ref="I15:K15"/>
    <mergeCell ref="I19:K19"/>
    <mergeCell ref="I48:K48"/>
    <mergeCell ref="P2:AC2"/>
    <mergeCell ref="P19:AC19"/>
    <mergeCell ref="I36:K36"/>
    <mergeCell ref="I44:K44"/>
    <mergeCell ref="I40:K40"/>
    <mergeCell ref="L4:L8"/>
    <mergeCell ref="M4:M8"/>
    <mergeCell ref="M31:M34"/>
    <mergeCell ref="M21:M27"/>
    <mergeCell ref="B47:D47"/>
    <mergeCell ref="E35:E37"/>
    <mergeCell ref="F35:F37"/>
    <mergeCell ref="B43:D43"/>
    <mergeCell ref="B39:C39"/>
    <mergeCell ref="B2:D2"/>
    <mergeCell ref="I2:K2"/>
    <mergeCell ref="L31:L34"/>
    <mergeCell ref="B19:D19"/>
    <mergeCell ref="B24:D24"/>
    <mergeCell ref="I29:K29"/>
    <mergeCell ref="B29:D29"/>
    <mergeCell ref="E4:E16"/>
    <mergeCell ref="F4:F16"/>
    <mergeCell ref="B33:D33"/>
    <mergeCell ref="L21:L27"/>
  </mergeCells>
  <conditionalFormatting sqref="M4 M51">
    <cfRule type="cellIs" dxfId="17" priority="21" operator="lessThan">
      <formula>10</formula>
    </cfRule>
  </conditionalFormatting>
  <conditionalFormatting sqref="M12:M13">
    <cfRule type="cellIs" dxfId="16" priority="20" operator="lessThan">
      <formula>10</formula>
    </cfRule>
  </conditionalFormatting>
  <conditionalFormatting sqref="M17">
    <cfRule type="cellIs" dxfId="15" priority="19" operator="lessThan">
      <formula>10</formula>
    </cfRule>
  </conditionalFormatting>
  <conditionalFormatting sqref="F4">
    <cfRule type="cellIs" dxfId="14" priority="17" operator="lessThan">
      <formula>10</formula>
    </cfRule>
  </conditionalFormatting>
  <conditionalFormatting sqref="M31">
    <cfRule type="cellIs" dxfId="13" priority="15" operator="lessThan">
      <formula>10</formula>
    </cfRule>
  </conditionalFormatting>
  <conditionalFormatting sqref="M21">
    <cfRule type="cellIs" dxfId="12" priority="14" operator="lessThan">
      <formula>10</formula>
    </cfRule>
  </conditionalFormatting>
  <conditionalFormatting sqref="F35">
    <cfRule type="cellIs" dxfId="11" priority="13" operator="lessThan">
      <formula>10</formula>
    </cfRule>
  </conditionalFormatting>
  <conditionalFormatting sqref="M42">
    <cfRule type="cellIs" dxfId="10" priority="11" operator="lessThan">
      <formula>10</formula>
    </cfRule>
  </conditionalFormatting>
  <conditionalFormatting sqref="F31">
    <cfRule type="cellIs" dxfId="9" priority="10" operator="lessThan">
      <formula>10</formula>
    </cfRule>
  </conditionalFormatting>
  <conditionalFormatting sqref="M46">
    <cfRule type="cellIs" dxfId="8" priority="9" operator="lessThan">
      <formula>10</formula>
    </cfRule>
  </conditionalFormatting>
  <conditionalFormatting sqref="M38">
    <cfRule type="cellIs" dxfId="7" priority="8" operator="lessThan">
      <formula>10</formula>
    </cfRule>
  </conditionalFormatting>
  <conditionalFormatting sqref="F49">
    <cfRule type="cellIs" dxfId="6" priority="7" operator="lessThan">
      <formula>10</formula>
    </cfRule>
  </conditionalFormatting>
  <conditionalFormatting sqref="F41">
    <cfRule type="cellIs" dxfId="5" priority="6" operator="lessThan">
      <formula>10</formula>
    </cfRule>
  </conditionalFormatting>
  <conditionalFormatting sqref="F45">
    <cfRule type="cellIs" dxfId="4" priority="5" operator="lessThan">
      <formula>10</formula>
    </cfRule>
  </conditionalFormatting>
  <conditionalFormatting sqref="M50">
    <cfRule type="cellIs" dxfId="3" priority="4" operator="lessThan">
      <formula>10</formula>
    </cfRule>
  </conditionalFormatting>
  <conditionalFormatting sqref="M55">
    <cfRule type="cellIs" dxfId="2" priority="3" operator="lessThan">
      <formula>10</formula>
    </cfRule>
  </conditionalFormatting>
  <conditionalFormatting sqref="F21">
    <cfRule type="cellIs" dxfId="1" priority="2" operator="lessThan">
      <formula>10</formula>
    </cfRule>
  </conditionalFormatting>
  <conditionalFormatting sqref="F26">
    <cfRule type="cellIs" dxfId="0" priority="1" operator="lessThan">
      <formula>10</formula>
    </cfRule>
  </conditionalFormatting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CE18F-A7CD-48AA-93E8-63A23E62CE3F}">
  <dimension ref="B2:M47"/>
  <sheetViews>
    <sheetView topLeftCell="E1" zoomScaleNormal="100" workbookViewId="0">
      <selection activeCell="K44" sqref="K44"/>
    </sheetView>
  </sheetViews>
  <sheetFormatPr defaultRowHeight="15" x14ac:dyDescent="0.25"/>
  <cols>
    <col min="2" max="2" width="40.42578125" bestFit="1" customWidth="1"/>
    <col min="3" max="3" width="13.7109375" bestFit="1" customWidth="1"/>
    <col min="4" max="5" width="17.42578125" bestFit="1" customWidth="1"/>
    <col min="6" max="6" width="11.7109375" customWidth="1"/>
    <col min="7" max="7" width="10.42578125" customWidth="1"/>
    <col min="12" max="12" width="14.5703125" customWidth="1"/>
    <col min="13" max="13" width="19.28515625" customWidth="1"/>
  </cols>
  <sheetData>
    <row r="2" spans="2:13" x14ac:dyDescent="0.25">
      <c r="B2" s="331" t="s">
        <v>227</v>
      </c>
      <c r="C2" s="331"/>
      <c r="D2" s="331"/>
      <c r="E2" s="331"/>
      <c r="L2" s="324" t="s">
        <v>228</v>
      </c>
      <c r="M2" s="325"/>
    </row>
    <row r="3" spans="2:13" ht="30" x14ac:dyDescent="0.25">
      <c r="B3" s="332" t="s">
        <v>228</v>
      </c>
      <c r="C3" s="332"/>
      <c r="D3" s="332"/>
      <c r="E3" s="332"/>
      <c r="L3" s="227" t="s">
        <v>212</v>
      </c>
      <c r="M3" s="228" t="s">
        <v>213</v>
      </c>
    </row>
    <row r="4" spans="2:13" x14ac:dyDescent="0.25">
      <c r="B4" s="206" t="s">
        <v>214</v>
      </c>
      <c r="C4" s="206" t="s">
        <v>261</v>
      </c>
      <c r="D4" s="206" t="s">
        <v>215</v>
      </c>
      <c r="E4" s="206" t="s">
        <v>216</v>
      </c>
      <c r="L4" s="222" t="s">
        <v>201</v>
      </c>
      <c r="M4" s="223">
        <v>0.86</v>
      </c>
    </row>
    <row r="5" spans="2:13" x14ac:dyDescent="0.25">
      <c r="B5" s="207" t="str">
        <f>Circuitos!Q4</f>
        <v>ILUMINAÇÃO</v>
      </c>
      <c r="C5" s="207">
        <f>Circuitos!R4/1000</f>
        <v>1.1870000000000001</v>
      </c>
      <c r="D5" s="207">
        <v>0.81</v>
      </c>
      <c r="E5" s="207">
        <f>C5*D5</f>
        <v>0.96147000000000016</v>
      </c>
      <c r="L5" s="229" t="s">
        <v>202</v>
      </c>
      <c r="M5" s="230">
        <v>0.81</v>
      </c>
    </row>
    <row r="6" spans="2:13" x14ac:dyDescent="0.25">
      <c r="B6" s="8" t="str">
        <f>Circuitos!Q5</f>
        <v>TOMADAS GERAIS PRIMEIRO PAVIMENTO</v>
      </c>
      <c r="C6" s="8">
        <f>Circuitos!R5/1000</f>
        <v>2</v>
      </c>
      <c r="D6" s="8">
        <v>0.81</v>
      </c>
      <c r="E6" s="8">
        <f t="shared" ref="E6:E9" si="0">C6*D6</f>
        <v>1.62</v>
      </c>
      <c r="L6" s="222" t="s">
        <v>203</v>
      </c>
      <c r="M6" s="224">
        <v>0.76</v>
      </c>
    </row>
    <row r="7" spans="2:13" x14ac:dyDescent="0.25">
      <c r="B7" s="207" t="str">
        <f>Circuitos!Q6</f>
        <v>TOMADAS COZINHA</v>
      </c>
      <c r="C7" s="207">
        <f>Circuitos!R6/1000</f>
        <v>2</v>
      </c>
      <c r="D7" s="207">
        <v>0.81</v>
      </c>
      <c r="E7" s="207">
        <f t="shared" si="0"/>
        <v>1.62</v>
      </c>
      <c r="L7" s="229" t="s">
        <v>204</v>
      </c>
      <c r="M7" s="230">
        <v>0.72</v>
      </c>
    </row>
    <row r="8" spans="2:13" x14ac:dyDescent="0.25">
      <c r="B8" s="8" t="str">
        <f>Circuitos!Q7</f>
        <v>TOMADAS AREA DE SERVIÇO</v>
      </c>
      <c r="C8" s="8">
        <f>Circuitos!R7/1000</f>
        <v>2</v>
      </c>
      <c r="D8" s="8">
        <v>0.81</v>
      </c>
      <c r="E8" s="8">
        <f t="shared" si="0"/>
        <v>1.62</v>
      </c>
      <c r="L8" s="222" t="s">
        <v>205</v>
      </c>
      <c r="M8" s="224">
        <v>0.68</v>
      </c>
    </row>
    <row r="9" spans="2:13" x14ac:dyDescent="0.25">
      <c r="B9" s="207" t="str">
        <f>Circuitos!Q8</f>
        <v>TOMADAS GERAIS</v>
      </c>
      <c r="C9" s="207">
        <f>Circuitos!R8/1000</f>
        <v>2.2000000000000002</v>
      </c>
      <c r="D9" s="207">
        <v>0.76</v>
      </c>
      <c r="E9" s="207">
        <f t="shared" si="0"/>
        <v>1.6720000000000002</v>
      </c>
      <c r="L9" s="229" t="s">
        <v>206</v>
      </c>
      <c r="M9" s="230">
        <v>0.64</v>
      </c>
    </row>
    <row r="10" spans="2:13" x14ac:dyDescent="0.25">
      <c r="B10" s="8" t="str">
        <f>Circuitos!Q10</f>
        <v>TOMADAS GARAGEM</v>
      </c>
      <c r="C10" s="8">
        <f>Circuitos!R10/1000</f>
        <v>2</v>
      </c>
      <c r="D10" s="8">
        <v>0.81</v>
      </c>
      <c r="E10" s="8">
        <f>C10*D10</f>
        <v>1.62</v>
      </c>
      <c r="L10" s="222" t="s">
        <v>207</v>
      </c>
      <c r="M10" s="224">
        <v>0.6</v>
      </c>
    </row>
    <row r="11" spans="2:13" x14ac:dyDescent="0.25">
      <c r="B11" s="207" t="str">
        <f>Circuitos!Q11</f>
        <v>JARDIM</v>
      </c>
      <c r="C11" s="207">
        <f>Circuitos!R11/1000</f>
        <v>1.1639999999999999</v>
      </c>
      <c r="D11" s="207">
        <v>0.76</v>
      </c>
      <c r="E11" s="207">
        <f>C11*D11</f>
        <v>0.88463999999999998</v>
      </c>
      <c r="L11" s="229" t="s">
        <v>208</v>
      </c>
      <c r="M11" s="230">
        <v>0.56999999999999995</v>
      </c>
    </row>
    <row r="12" spans="2:13" x14ac:dyDescent="0.25">
      <c r="B12" s="244" t="str">
        <f>Circuitos!Q14</f>
        <v>QUADRO DE CARGAS 2</v>
      </c>
      <c r="C12" s="244">
        <f>E29</f>
        <v>4.0191600000000003</v>
      </c>
      <c r="D12" s="8"/>
      <c r="E12" s="242">
        <f>E29</f>
        <v>4.0191600000000003</v>
      </c>
      <c r="L12" s="222" t="s">
        <v>209</v>
      </c>
      <c r="M12" s="224">
        <v>0.54</v>
      </c>
    </row>
    <row r="13" spans="2:13" x14ac:dyDescent="0.25">
      <c r="B13" s="191"/>
      <c r="C13" s="191"/>
      <c r="D13" s="248" t="s">
        <v>262</v>
      </c>
      <c r="E13" s="249">
        <f>SUM(E5:E12)</f>
        <v>14.01727</v>
      </c>
      <c r="L13" s="229" t="s">
        <v>211</v>
      </c>
      <c r="M13" s="230">
        <v>0.52</v>
      </c>
    </row>
    <row r="14" spans="2:13" x14ac:dyDescent="0.25">
      <c r="B14" s="333" t="s">
        <v>229</v>
      </c>
      <c r="C14" s="334"/>
      <c r="D14" s="322"/>
      <c r="E14" s="323"/>
      <c r="L14" s="225" t="s">
        <v>210</v>
      </c>
      <c r="M14" s="226">
        <v>0.45</v>
      </c>
    </row>
    <row r="15" spans="2:13" x14ac:dyDescent="0.25">
      <c r="B15" s="206" t="s">
        <v>214</v>
      </c>
      <c r="C15" s="206" t="s">
        <v>261</v>
      </c>
      <c r="D15" s="206" t="s">
        <v>215</v>
      </c>
      <c r="E15" s="206" t="s">
        <v>216</v>
      </c>
    </row>
    <row r="16" spans="2:13" x14ac:dyDescent="0.25">
      <c r="B16" s="207" t="str">
        <f>Circuitos!Q9</f>
        <v>CHUVEIRO WC HOSPEDES</v>
      </c>
      <c r="C16" s="207">
        <f>Circuitos!R9/1000</f>
        <v>7.8</v>
      </c>
      <c r="D16" s="328">
        <v>0.43</v>
      </c>
      <c r="E16" s="99" t="s">
        <v>143</v>
      </c>
      <c r="L16" s="326" t="s">
        <v>229</v>
      </c>
      <c r="M16" s="327"/>
    </row>
    <row r="17" spans="2:13" ht="30" x14ac:dyDescent="0.25">
      <c r="B17" s="8" t="str">
        <f>Circuitos!Q13</f>
        <v>MÁQUINA DE SECAR</v>
      </c>
      <c r="C17" s="8">
        <f>Circuitos!R13/1000</f>
        <v>2</v>
      </c>
      <c r="D17" s="329"/>
      <c r="E17" s="202" t="s">
        <v>143</v>
      </c>
      <c r="L17" s="233" t="s">
        <v>226</v>
      </c>
      <c r="M17" s="234" t="s">
        <v>215</v>
      </c>
    </row>
    <row r="18" spans="2:13" x14ac:dyDescent="0.25">
      <c r="B18" s="237" t="str">
        <f>Circuitos!Q12</f>
        <v>FORNO ELÉTRICO</v>
      </c>
      <c r="C18" s="237">
        <f>Circuitos!R12/1000</f>
        <v>4.5</v>
      </c>
      <c r="D18" s="329"/>
      <c r="E18" s="99" t="s">
        <v>143</v>
      </c>
      <c r="L18" s="231">
        <v>1</v>
      </c>
      <c r="M18" s="232">
        <v>1</v>
      </c>
    </row>
    <row r="19" spans="2:13" x14ac:dyDescent="0.25">
      <c r="B19" s="246" t="str">
        <f>Circuitos!Q14</f>
        <v>QUADRO DE CARGAS 2</v>
      </c>
      <c r="C19" s="246">
        <f>C37</f>
        <v>35.200000000000003</v>
      </c>
      <c r="D19" s="330"/>
      <c r="E19" s="215"/>
      <c r="L19" s="235">
        <v>2</v>
      </c>
      <c r="M19" s="236">
        <v>0.92</v>
      </c>
    </row>
    <row r="20" spans="2:13" x14ac:dyDescent="0.25">
      <c r="B20" s="245"/>
      <c r="C20" s="245"/>
      <c r="D20" s="250" t="s">
        <v>262</v>
      </c>
      <c r="E20" s="251">
        <f>SUM(C16:C19)*D16</f>
        <v>21.285</v>
      </c>
      <c r="L20" s="231">
        <v>3</v>
      </c>
      <c r="M20" s="232">
        <v>0.84</v>
      </c>
    </row>
    <row r="21" spans="2:13" x14ac:dyDescent="0.25">
      <c r="D21" s="247" t="s">
        <v>142</v>
      </c>
      <c r="E21" s="247">
        <f>E13+E20</f>
        <v>35.30227</v>
      </c>
      <c r="L21" s="235">
        <v>4</v>
      </c>
      <c r="M21" s="236">
        <v>0.76</v>
      </c>
    </row>
    <row r="22" spans="2:13" x14ac:dyDescent="0.25">
      <c r="L22" s="231">
        <v>5</v>
      </c>
      <c r="M22" s="232">
        <v>0.7</v>
      </c>
    </row>
    <row r="23" spans="2:13" x14ac:dyDescent="0.25">
      <c r="B23" s="335" t="s">
        <v>230</v>
      </c>
      <c r="C23" s="336"/>
      <c r="D23" s="336"/>
      <c r="E23" s="337"/>
      <c r="L23" s="235">
        <v>6</v>
      </c>
      <c r="M23" s="236">
        <v>0.5</v>
      </c>
    </row>
    <row r="24" spans="2:13" x14ac:dyDescent="0.25">
      <c r="B24" s="321" t="s">
        <v>228</v>
      </c>
      <c r="C24" s="322"/>
      <c r="D24" s="322"/>
      <c r="E24" s="323"/>
      <c r="L24" s="231">
        <v>7</v>
      </c>
      <c r="M24" s="232">
        <v>0.45</v>
      </c>
    </row>
    <row r="25" spans="2:13" x14ac:dyDescent="0.25">
      <c r="B25" s="206" t="s">
        <v>214</v>
      </c>
      <c r="C25" s="206" t="s">
        <v>261</v>
      </c>
      <c r="D25" s="206" t="s">
        <v>215</v>
      </c>
      <c r="E25" s="206" t="s">
        <v>216</v>
      </c>
      <c r="L25" s="254">
        <v>8</v>
      </c>
      <c r="M25" s="255">
        <v>0.43</v>
      </c>
    </row>
    <row r="26" spans="2:13" x14ac:dyDescent="0.25">
      <c r="B26" s="207" t="str">
        <f>Circuitos!Q21</f>
        <v>TOMADAS QUARTOS SEGUNDO PAVIMENTO</v>
      </c>
      <c r="C26" s="207">
        <f>Circuitos!R21/1000</f>
        <v>2</v>
      </c>
      <c r="D26" s="207">
        <v>0.81</v>
      </c>
      <c r="E26" s="207">
        <f>C26*D26</f>
        <v>1.62</v>
      </c>
    </row>
    <row r="27" spans="2:13" x14ac:dyDescent="0.25">
      <c r="B27" s="8" t="str">
        <f>Circuitos!Q22</f>
        <v>TOMADAS SUITE CASAL</v>
      </c>
      <c r="C27" s="8">
        <f>Circuitos!R22/1000</f>
        <v>2</v>
      </c>
      <c r="D27" s="8">
        <v>0.81</v>
      </c>
      <c r="E27" s="8">
        <f t="shared" ref="E27:E28" si="1">C27*D27</f>
        <v>1.62</v>
      </c>
    </row>
    <row r="28" spans="2:13" x14ac:dyDescent="0.25">
      <c r="B28" s="207" t="str">
        <f>Circuitos!Q28</f>
        <v>ILUMINAÇÃO 2º PAVIMENTO</v>
      </c>
      <c r="C28" s="207">
        <f>Circuitos!R28/1000</f>
        <v>0.90600000000000003</v>
      </c>
      <c r="D28" s="207">
        <v>0.86</v>
      </c>
      <c r="E28" s="207">
        <f t="shared" si="1"/>
        <v>0.77915999999999996</v>
      </c>
    </row>
    <row r="29" spans="2:13" x14ac:dyDescent="0.25">
      <c r="B29" s="8"/>
      <c r="C29" s="8">
        <f>SUM(C26:C28)</f>
        <v>4.9059999999999997</v>
      </c>
      <c r="D29" s="249" t="s">
        <v>262</v>
      </c>
      <c r="E29" s="249">
        <f>SUM(E26:E28)</f>
        <v>4.0191600000000003</v>
      </c>
    </row>
    <row r="30" spans="2:13" x14ac:dyDescent="0.25">
      <c r="B30" s="321" t="s">
        <v>229</v>
      </c>
      <c r="C30" s="322"/>
      <c r="D30" s="322"/>
      <c r="E30" s="323"/>
    </row>
    <row r="31" spans="2:13" x14ac:dyDescent="0.25">
      <c r="B31" s="206" t="s">
        <v>214</v>
      </c>
      <c r="C31" s="206" t="s">
        <v>261</v>
      </c>
      <c r="D31" s="206" t="s">
        <v>215</v>
      </c>
      <c r="E31" s="206" t="s">
        <v>216</v>
      </c>
    </row>
    <row r="32" spans="2:13" x14ac:dyDescent="0.25">
      <c r="B32" s="207" t="str">
        <f>Circuitos!Q23</f>
        <v>CHUVEIRO WC CASAL 1</v>
      </c>
      <c r="C32" s="207">
        <f>Circuitos!R23/1000</f>
        <v>7.8</v>
      </c>
      <c r="D32" s="328">
        <v>0.7</v>
      </c>
      <c r="E32" s="99" t="s">
        <v>143</v>
      </c>
    </row>
    <row r="33" spans="2:7" x14ac:dyDescent="0.25">
      <c r="B33" s="208" t="str">
        <f>Circuitos!Q24</f>
        <v>CHUVEIRO WC CASAL 2</v>
      </c>
      <c r="C33" s="208">
        <f>Circuitos!R24/1000</f>
        <v>7.8</v>
      </c>
      <c r="D33" s="329"/>
      <c r="E33" s="202" t="s">
        <v>143</v>
      </c>
    </row>
    <row r="34" spans="2:7" x14ac:dyDescent="0.25">
      <c r="B34" s="207" t="str">
        <f>Circuitos!Q25</f>
        <v>BANHEIRA WC CASAL</v>
      </c>
      <c r="C34" s="207">
        <f>Circuitos!R25/1000</f>
        <v>4</v>
      </c>
      <c r="D34" s="329"/>
      <c r="E34" s="99" t="s">
        <v>143</v>
      </c>
    </row>
    <row r="35" spans="2:7" x14ac:dyDescent="0.25">
      <c r="B35" s="208" t="str">
        <f>Circuitos!Q26</f>
        <v>CHUVEIRO WC SUITE 1</v>
      </c>
      <c r="C35" s="208">
        <f>Circuitos!R26/1000</f>
        <v>7.8</v>
      </c>
      <c r="D35" s="329"/>
      <c r="E35" s="202" t="s">
        <v>143</v>
      </c>
    </row>
    <row r="36" spans="2:7" x14ac:dyDescent="0.25">
      <c r="B36" s="207" t="str">
        <f>Circuitos!Q27</f>
        <v>CHUVEIRO WC SUITE 2</v>
      </c>
      <c r="C36" s="207">
        <f>Circuitos!R27/1000</f>
        <v>7.8</v>
      </c>
      <c r="D36" s="330"/>
      <c r="E36" s="99" t="s">
        <v>143</v>
      </c>
    </row>
    <row r="37" spans="2:7" x14ac:dyDescent="0.25">
      <c r="B37" s="8"/>
      <c r="C37" s="8">
        <f>SUM(C32:C36)</f>
        <v>35.200000000000003</v>
      </c>
      <c r="D37" s="249" t="s">
        <v>262</v>
      </c>
      <c r="E37" s="249">
        <f>SUM(C32:C36)*D32</f>
        <v>24.64</v>
      </c>
    </row>
    <row r="38" spans="2:7" x14ac:dyDescent="0.25">
      <c r="D38" s="252" t="s">
        <v>142</v>
      </c>
      <c r="E38" s="252">
        <f>E37+E29</f>
        <v>28.65916</v>
      </c>
    </row>
    <row r="40" spans="2:7" x14ac:dyDescent="0.25">
      <c r="B40" s="207" t="s">
        <v>234</v>
      </c>
      <c r="C40" s="253">
        <f>E21</f>
        <v>35.30227</v>
      </c>
    </row>
    <row r="44" spans="2:7" ht="30" x14ac:dyDescent="0.25">
      <c r="B44" s="243" t="s">
        <v>152</v>
      </c>
      <c r="C44" s="243" t="s">
        <v>257</v>
      </c>
      <c r="D44" s="243" t="s">
        <v>256</v>
      </c>
      <c r="E44" s="243" t="s">
        <v>258</v>
      </c>
      <c r="F44" s="243" t="s">
        <v>260</v>
      </c>
      <c r="G44" s="243" t="s">
        <v>259</v>
      </c>
    </row>
    <row r="45" spans="2:7" x14ac:dyDescent="0.25">
      <c r="B45" s="242" t="str">
        <f>B2</f>
        <v>Fator de Demanda 1º Pavimento</v>
      </c>
      <c r="C45" s="242">
        <f>E21</f>
        <v>35.30227</v>
      </c>
      <c r="D45" s="242" t="s">
        <v>255</v>
      </c>
      <c r="E45" s="242">
        <v>100</v>
      </c>
      <c r="F45" s="242">
        <v>35</v>
      </c>
      <c r="G45" s="242">
        <v>40</v>
      </c>
    </row>
    <row r="46" spans="2:7" x14ac:dyDescent="0.25">
      <c r="B46" s="241" t="str">
        <f>B23</f>
        <v>Fator de Demanda 2º Pavimento</v>
      </c>
      <c r="C46" s="241">
        <f>E38</f>
        <v>28.65916</v>
      </c>
      <c r="D46" s="241" t="s">
        <v>255</v>
      </c>
      <c r="E46" s="241">
        <v>100</v>
      </c>
      <c r="F46" s="241">
        <v>35</v>
      </c>
      <c r="G46" s="241">
        <v>40</v>
      </c>
    </row>
    <row r="47" spans="2:7" x14ac:dyDescent="0.25">
      <c r="B47" s="242" t="str">
        <f>B40</f>
        <v>Fator de Demanda TOTAL</v>
      </c>
      <c r="C47" s="242">
        <f>C40</f>
        <v>35.30227</v>
      </c>
      <c r="D47" s="242" t="s">
        <v>255</v>
      </c>
      <c r="E47" s="242">
        <v>100</v>
      </c>
      <c r="F47" s="242">
        <v>35</v>
      </c>
      <c r="G47" s="242">
        <v>40</v>
      </c>
    </row>
  </sheetData>
  <mergeCells count="10">
    <mergeCell ref="B30:E30"/>
    <mergeCell ref="L2:M2"/>
    <mergeCell ref="L16:M16"/>
    <mergeCell ref="D32:D36"/>
    <mergeCell ref="B2:E2"/>
    <mergeCell ref="B3:E3"/>
    <mergeCell ref="B14:E14"/>
    <mergeCell ref="B23:E23"/>
    <mergeCell ref="B24:E24"/>
    <mergeCell ref="D16:D19"/>
  </mergeCells>
  <pageMargins left="0.511811024" right="0.511811024" top="0.78740157499999996" bottom="0.78740157499999996" header="0.31496062000000002" footer="0.31496062000000002"/>
  <pageSetup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82948-032E-4FFA-B029-E384CA5D6F03}">
  <dimension ref="A2:I139"/>
  <sheetViews>
    <sheetView workbookViewId="0">
      <selection activeCell="G145" sqref="G145"/>
    </sheetView>
  </sheetViews>
  <sheetFormatPr defaultRowHeight="15" x14ac:dyDescent="0.25"/>
  <cols>
    <col min="3" max="3" width="14.85546875" bestFit="1" customWidth="1"/>
    <col min="4" max="4" width="19.28515625" bestFit="1" customWidth="1"/>
    <col min="5" max="5" width="13.28515625" bestFit="1" customWidth="1"/>
    <col min="6" max="6" width="13.42578125" bestFit="1" customWidth="1"/>
    <col min="12" max="12" width="13.28515625" bestFit="1" customWidth="1"/>
    <col min="13" max="13" width="13.42578125" bestFit="1" customWidth="1"/>
  </cols>
  <sheetData>
    <row r="2" spans="2:7" x14ac:dyDescent="0.25">
      <c r="B2" s="360" t="s">
        <v>170</v>
      </c>
      <c r="C2" s="360"/>
      <c r="D2" s="360"/>
      <c r="E2" s="360"/>
      <c r="F2" s="360"/>
      <c r="G2" s="360"/>
    </row>
    <row r="3" spans="2:7" x14ac:dyDescent="0.25">
      <c r="B3" s="139" t="s">
        <v>152</v>
      </c>
      <c r="C3" s="139" t="s">
        <v>171</v>
      </c>
      <c r="D3" s="139" t="s">
        <v>172</v>
      </c>
      <c r="E3" s="139" t="s">
        <v>79</v>
      </c>
      <c r="F3" s="139" t="s">
        <v>1</v>
      </c>
      <c r="G3" s="139" t="s">
        <v>173</v>
      </c>
    </row>
    <row r="4" spans="2:7" x14ac:dyDescent="0.25">
      <c r="B4" s="338">
        <v>1</v>
      </c>
      <c r="C4" s="135" t="str">
        <f>Lâmpadas!A2</f>
        <v>Suíte Hospedes</v>
      </c>
      <c r="D4" s="338" t="s">
        <v>174</v>
      </c>
      <c r="E4" s="136">
        <f>Lâmpadas!Z2</f>
        <v>134</v>
      </c>
      <c r="F4" s="136">
        <v>13.62</v>
      </c>
      <c r="G4" s="136">
        <f>E4*F4</f>
        <v>1825.08</v>
      </c>
    </row>
    <row r="5" spans="2:7" x14ac:dyDescent="0.25">
      <c r="B5" s="362"/>
      <c r="C5" s="133" t="str">
        <f>Lâmpadas!A5</f>
        <v>WC Hospedes</v>
      </c>
      <c r="D5" s="362"/>
      <c r="E5" s="132">
        <f>Lâmpadas!Z5</f>
        <v>74</v>
      </c>
      <c r="F5" s="132">
        <v>9.0500000000000007</v>
      </c>
      <c r="G5" s="132">
        <f t="shared" ref="G5:G12" si="0">E5*F5</f>
        <v>669.7</v>
      </c>
    </row>
    <row r="6" spans="2:7" x14ac:dyDescent="0.25">
      <c r="B6" s="362"/>
      <c r="C6" s="135" t="str">
        <f>Lâmpadas!A7</f>
        <v>Lavabo</v>
      </c>
      <c r="D6" s="362"/>
      <c r="E6" s="136">
        <f>Lâmpadas!Z7</f>
        <v>22</v>
      </c>
      <c r="F6" s="136">
        <v>6.4</v>
      </c>
      <c r="G6" s="136">
        <f t="shared" si="0"/>
        <v>140.80000000000001</v>
      </c>
    </row>
    <row r="7" spans="2:7" x14ac:dyDescent="0.25">
      <c r="B7" s="362"/>
      <c r="C7" s="133" t="str">
        <f>Lâmpadas!A8</f>
        <v>Hall</v>
      </c>
      <c r="D7" s="362"/>
      <c r="E7" s="132">
        <f>Lâmpadas!Z8</f>
        <v>31</v>
      </c>
      <c r="F7" s="132">
        <v>5</v>
      </c>
      <c r="G7" s="132">
        <f t="shared" si="0"/>
        <v>155</v>
      </c>
    </row>
    <row r="8" spans="2:7" x14ac:dyDescent="0.25">
      <c r="B8" s="362"/>
      <c r="C8" s="135" t="str">
        <f>Lâmpadas!A10</f>
        <v>Área de Serviço</v>
      </c>
      <c r="D8" s="362"/>
      <c r="E8" s="136">
        <f>Lâmpadas!Z10</f>
        <v>52</v>
      </c>
      <c r="F8" s="136">
        <v>9.6</v>
      </c>
      <c r="G8" s="136">
        <f t="shared" si="0"/>
        <v>499.2</v>
      </c>
    </row>
    <row r="9" spans="2:7" x14ac:dyDescent="0.25">
      <c r="B9" s="362"/>
      <c r="C9" s="133" t="str">
        <f>Lâmpadas!A12</f>
        <v>Dispensa</v>
      </c>
      <c r="D9" s="362"/>
      <c r="E9" s="132">
        <f>Lâmpadas!Z12</f>
        <v>30</v>
      </c>
      <c r="F9" s="132">
        <v>6.6</v>
      </c>
      <c r="G9" s="132">
        <f t="shared" si="0"/>
        <v>198</v>
      </c>
    </row>
    <row r="10" spans="2:7" x14ac:dyDescent="0.25">
      <c r="B10" s="362"/>
      <c r="C10" s="135" t="str">
        <f>Lâmpadas!A13</f>
        <v>Cozinha</v>
      </c>
      <c r="D10" s="362"/>
      <c r="E10" s="136">
        <f>Lâmpadas!Z13</f>
        <v>140</v>
      </c>
      <c r="F10" s="136">
        <v>12.8</v>
      </c>
      <c r="G10" s="136">
        <f t="shared" si="0"/>
        <v>1792</v>
      </c>
    </row>
    <row r="11" spans="2:7" x14ac:dyDescent="0.25">
      <c r="B11" s="362"/>
      <c r="C11" s="133" t="str">
        <f>Lâmpadas!A15</f>
        <v>Sala de Estar</v>
      </c>
      <c r="D11" s="362"/>
      <c r="E11" s="132">
        <f>Lâmpadas!Z15</f>
        <v>168</v>
      </c>
      <c r="F11" s="132">
        <v>12.1</v>
      </c>
      <c r="G11" s="132">
        <f t="shared" si="0"/>
        <v>2032.8</v>
      </c>
    </row>
    <row r="12" spans="2:7" x14ac:dyDescent="0.25">
      <c r="B12" s="362"/>
      <c r="C12" s="135" t="str">
        <f>Lâmpadas!A17</f>
        <v>Sala de Jantar</v>
      </c>
      <c r="D12" s="362"/>
      <c r="E12" s="136">
        <f>Lâmpadas!Z17</f>
        <v>128</v>
      </c>
      <c r="F12" s="136">
        <v>15.2</v>
      </c>
      <c r="G12" s="136">
        <f t="shared" si="0"/>
        <v>1945.6</v>
      </c>
    </row>
    <row r="13" spans="2:7" x14ac:dyDescent="0.25">
      <c r="B13" s="362"/>
      <c r="C13" s="133" t="str">
        <f>Lâmpadas!A39</f>
        <v>Garagem</v>
      </c>
      <c r="D13" s="362"/>
      <c r="E13" s="132">
        <f>Lâmpadas!Z39</f>
        <v>96</v>
      </c>
      <c r="F13" s="132">
        <v>15.6</v>
      </c>
      <c r="G13" s="132">
        <f>E13*F13</f>
        <v>1497.6</v>
      </c>
    </row>
    <row r="14" spans="2:7" x14ac:dyDescent="0.25">
      <c r="B14" s="362"/>
      <c r="C14" s="135" t="str">
        <f>Lâmpadas!A40</f>
        <v>Calçada</v>
      </c>
      <c r="D14" s="362"/>
      <c r="E14" s="136">
        <f>Lâmpadas!Z40</f>
        <v>132</v>
      </c>
      <c r="F14" s="136">
        <v>31</v>
      </c>
      <c r="G14" s="136">
        <f>E14*F14</f>
        <v>4092</v>
      </c>
    </row>
    <row r="15" spans="2:7" x14ac:dyDescent="0.25">
      <c r="B15" s="362"/>
      <c r="C15" s="133" t="str">
        <f>Lâmpadas!A41</f>
        <v>Fachada Casa</v>
      </c>
      <c r="D15" s="339"/>
      <c r="E15" s="132">
        <f>Lâmpadas!Z41</f>
        <v>180</v>
      </c>
      <c r="F15" s="132">
        <v>25</v>
      </c>
      <c r="G15" s="132">
        <f>E15*F15</f>
        <v>4500</v>
      </c>
    </row>
    <row r="16" spans="2:7" x14ac:dyDescent="0.25">
      <c r="B16" s="362"/>
      <c r="C16" s="346" t="s">
        <v>142</v>
      </c>
      <c r="D16" s="347"/>
      <c r="E16" s="132">
        <f ca="1">SUM(E4:E17)</f>
        <v>1187</v>
      </c>
      <c r="F16" s="137"/>
      <c r="G16" s="132">
        <f ca="1">SUM(G4:G17)</f>
        <v>19347.78</v>
      </c>
    </row>
    <row r="17" spans="1:7" x14ac:dyDescent="0.25">
      <c r="B17" s="339"/>
      <c r="C17" s="342" t="s">
        <v>175</v>
      </c>
      <c r="D17" s="343"/>
      <c r="E17" s="343"/>
      <c r="F17" s="344"/>
      <c r="G17" s="138">
        <f ca="1">G16/E16</f>
        <v>16.299730412805392</v>
      </c>
    </row>
    <row r="18" spans="1:7" x14ac:dyDescent="0.25">
      <c r="A18" s="10"/>
      <c r="B18" s="10"/>
      <c r="C18" s="120"/>
      <c r="D18" s="11"/>
      <c r="E18" s="10"/>
      <c r="F18" s="10"/>
      <c r="G18" s="10"/>
    </row>
    <row r="19" spans="1:7" x14ac:dyDescent="0.25">
      <c r="B19" s="139" t="s">
        <v>152</v>
      </c>
      <c r="C19" s="139" t="s">
        <v>171</v>
      </c>
      <c r="D19" s="139" t="s">
        <v>172</v>
      </c>
      <c r="E19" s="139" t="s">
        <v>79</v>
      </c>
      <c r="F19" s="139" t="s">
        <v>1</v>
      </c>
      <c r="G19" s="139" t="s">
        <v>173</v>
      </c>
    </row>
    <row r="20" spans="1:7" x14ac:dyDescent="0.25">
      <c r="B20" s="345">
        <v>2</v>
      </c>
      <c r="C20" s="345" t="str">
        <f>Circuitos!I4</f>
        <v>Suíte Hospedes</v>
      </c>
      <c r="D20" s="132" t="s">
        <v>45</v>
      </c>
      <c r="E20" s="132">
        <v>100</v>
      </c>
      <c r="F20" s="132">
        <v>14.2</v>
      </c>
      <c r="G20" s="132">
        <f>F20*E20</f>
        <v>1420</v>
      </c>
    </row>
    <row r="21" spans="1:7" x14ac:dyDescent="0.25">
      <c r="B21" s="345"/>
      <c r="C21" s="345"/>
      <c r="D21" s="140" t="s">
        <v>45</v>
      </c>
      <c r="E21" s="136">
        <v>100</v>
      </c>
      <c r="F21" s="136">
        <v>13.1</v>
      </c>
      <c r="G21" s="136">
        <f t="shared" ref="G21:G29" si="1">F21*E21</f>
        <v>1310</v>
      </c>
    </row>
    <row r="22" spans="1:7" x14ac:dyDescent="0.25">
      <c r="B22" s="345"/>
      <c r="C22" s="345"/>
      <c r="D22" s="134" t="s">
        <v>45</v>
      </c>
      <c r="E22" s="132">
        <v>100</v>
      </c>
      <c r="F22" s="132">
        <v>14.1</v>
      </c>
      <c r="G22" s="132">
        <f t="shared" si="1"/>
        <v>1410</v>
      </c>
    </row>
    <row r="23" spans="1:7" x14ac:dyDescent="0.25">
      <c r="B23" s="345"/>
      <c r="C23" s="136" t="str">
        <f>Circuitos!I5</f>
        <v>WC Hospedes</v>
      </c>
      <c r="D23" s="140" t="s">
        <v>45</v>
      </c>
      <c r="E23" s="136">
        <v>600</v>
      </c>
      <c r="F23" s="136">
        <v>9.0500000000000007</v>
      </c>
      <c r="G23" s="136">
        <f t="shared" si="1"/>
        <v>5430</v>
      </c>
    </row>
    <row r="24" spans="1:7" x14ac:dyDescent="0.25">
      <c r="B24" s="345"/>
      <c r="C24" s="132" t="str">
        <f>Circuitos!I6</f>
        <v>Lavabo</v>
      </c>
      <c r="D24" s="134" t="s">
        <v>45</v>
      </c>
      <c r="E24" s="132">
        <v>600</v>
      </c>
      <c r="F24" s="132">
        <v>7.4</v>
      </c>
      <c r="G24" s="132">
        <f t="shared" si="1"/>
        <v>4440</v>
      </c>
    </row>
    <row r="25" spans="1:7" x14ac:dyDescent="0.25">
      <c r="B25" s="345"/>
      <c r="C25" s="361" t="str">
        <f>Circuitos!I7</f>
        <v>Hall</v>
      </c>
      <c r="D25" s="140" t="s">
        <v>45</v>
      </c>
      <c r="E25" s="136">
        <v>100</v>
      </c>
      <c r="F25" s="136">
        <v>5.8</v>
      </c>
      <c r="G25" s="136">
        <f t="shared" si="1"/>
        <v>580</v>
      </c>
    </row>
    <row r="26" spans="1:7" x14ac:dyDescent="0.25">
      <c r="B26" s="345"/>
      <c r="C26" s="361"/>
      <c r="D26" s="134" t="s">
        <v>45</v>
      </c>
      <c r="E26" s="132">
        <v>100</v>
      </c>
      <c r="F26" s="132">
        <v>4.4000000000000004</v>
      </c>
      <c r="G26" s="132">
        <f t="shared" si="1"/>
        <v>440.00000000000006</v>
      </c>
    </row>
    <row r="27" spans="1:7" x14ac:dyDescent="0.25">
      <c r="B27" s="345"/>
      <c r="C27" s="361"/>
      <c r="D27" s="140" t="s">
        <v>45</v>
      </c>
      <c r="E27" s="136">
        <v>100</v>
      </c>
      <c r="F27" s="136">
        <v>6.3</v>
      </c>
      <c r="G27" s="136">
        <f t="shared" si="1"/>
        <v>630</v>
      </c>
    </row>
    <row r="28" spans="1:7" x14ac:dyDescent="0.25">
      <c r="B28" s="345"/>
      <c r="C28" s="345" t="str">
        <f>Circuitos!I8</f>
        <v>Dispensa</v>
      </c>
      <c r="D28" s="134" t="s">
        <v>45</v>
      </c>
      <c r="E28" s="132">
        <v>100</v>
      </c>
      <c r="F28" s="132">
        <v>7</v>
      </c>
      <c r="G28" s="132">
        <f t="shared" si="1"/>
        <v>700</v>
      </c>
    </row>
    <row r="29" spans="1:7" x14ac:dyDescent="0.25">
      <c r="B29" s="345"/>
      <c r="C29" s="345"/>
      <c r="D29" s="140" t="s">
        <v>45</v>
      </c>
      <c r="E29" s="136">
        <v>100</v>
      </c>
      <c r="F29" s="136">
        <v>8</v>
      </c>
      <c r="G29" s="136">
        <f t="shared" si="1"/>
        <v>800</v>
      </c>
    </row>
    <row r="30" spans="1:7" x14ac:dyDescent="0.25">
      <c r="B30" s="345"/>
      <c r="C30" s="346" t="s">
        <v>142</v>
      </c>
      <c r="D30" s="347"/>
      <c r="E30" s="132">
        <f>SUM(E20:E29)</f>
        <v>2000</v>
      </c>
      <c r="F30" s="137"/>
      <c r="G30" s="132">
        <f>SUM(G20:G29)</f>
        <v>17160</v>
      </c>
    </row>
    <row r="31" spans="1:7" x14ac:dyDescent="0.25">
      <c r="B31" s="345"/>
      <c r="C31" s="342" t="s">
        <v>175</v>
      </c>
      <c r="D31" s="343"/>
      <c r="E31" s="343"/>
      <c r="F31" s="344"/>
      <c r="G31" s="138">
        <f>G30/E30</f>
        <v>8.58</v>
      </c>
    </row>
    <row r="33" spans="2:7" x14ac:dyDescent="0.25">
      <c r="B33" s="345">
        <v>3</v>
      </c>
      <c r="C33" s="361" t="str">
        <f>Circuitos!I12</f>
        <v>Cozinha</v>
      </c>
      <c r="D33" s="134" t="s">
        <v>45</v>
      </c>
      <c r="E33" s="132">
        <v>100</v>
      </c>
      <c r="F33" s="132">
        <v>9.5</v>
      </c>
      <c r="G33" s="132">
        <f>F33*E33</f>
        <v>950</v>
      </c>
    </row>
    <row r="34" spans="2:7" x14ac:dyDescent="0.25">
      <c r="B34" s="345"/>
      <c r="C34" s="361"/>
      <c r="D34" s="140" t="s">
        <v>45</v>
      </c>
      <c r="E34" s="136">
        <v>100</v>
      </c>
      <c r="F34" s="136">
        <v>7.7</v>
      </c>
      <c r="G34" s="136">
        <f t="shared" ref="G34:G37" si="2">F34*E34</f>
        <v>770</v>
      </c>
    </row>
    <row r="35" spans="2:7" x14ac:dyDescent="0.25">
      <c r="B35" s="345"/>
      <c r="C35" s="361"/>
      <c r="D35" s="134" t="s">
        <v>176</v>
      </c>
      <c r="E35" s="132">
        <v>600</v>
      </c>
      <c r="F35" s="132">
        <v>5.6</v>
      </c>
      <c r="G35" s="132">
        <f t="shared" si="2"/>
        <v>3360</v>
      </c>
    </row>
    <row r="36" spans="2:7" x14ac:dyDescent="0.25">
      <c r="B36" s="345"/>
      <c r="C36" s="361"/>
      <c r="D36" s="140" t="s">
        <v>177</v>
      </c>
      <c r="E36" s="136">
        <v>600</v>
      </c>
      <c r="F36" s="136">
        <v>8.1999999999999993</v>
      </c>
      <c r="G36" s="136">
        <f t="shared" si="2"/>
        <v>4920</v>
      </c>
    </row>
    <row r="37" spans="2:7" x14ac:dyDescent="0.25">
      <c r="B37" s="345"/>
      <c r="C37" s="361"/>
      <c r="D37" s="134" t="s">
        <v>178</v>
      </c>
      <c r="E37" s="132">
        <v>600</v>
      </c>
      <c r="F37" s="132">
        <v>6.7</v>
      </c>
      <c r="G37" s="132">
        <f t="shared" si="2"/>
        <v>4020</v>
      </c>
    </row>
    <row r="38" spans="2:7" x14ac:dyDescent="0.25">
      <c r="B38" s="345"/>
      <c r="C38" s="346" t="s">
        <v>142</v>
      </c>
      <c r="D38" s="347"/>
      <c r="E38" s="132">
        <f>SUM(E33:E37)</f>
        <v>2000</v>
      </c>
      <c r="F38" s="137"/>
      <c r="G38" s="132">
        <f>SUM(G33:G37)</f>
        <v>14020</v>
      </c>
    </row>
    <row r="39" spans="2:7" x14ac:dyDescent="0.25">
      <c r="B39" s="345"/>
      <c r="C39" s="342" t="s">
        <v>175</v>
      </c>
      <c r="D39" s="343"/>
      <c r="E39" s="343"/>
      <c r="F39" s="344"/>
      <c r="G39" s="138">
        <f>G38/E38</f>
        <v>7.01</v>
      </c>
    </row>
    <row r="41" spans="2:7" x14ac:dyDescent="0.25">
      <c r="B41" s="345">
        <v>4</v>
      </c>
      <c r="C41" s="361" t="str">
        <f>Circuitos!I17</f>
        <v>Área de Serviço</v>
      </c>
      <c r="D41" s="132" t="s">
        <v>179</v>
      </c>
      <c r="E41" s="132">
        <v>600</v>
      </c>
      <c r="F41" s="132">
        <v>1.8</v>
      </c>
      <c r="G41" s="132">
        <f>F41*E41</f>
        <v>1080</v>
      </c>
    </row>
    <row r="42" spans="2:7" x14ac:dyDescent="0.25">
      <c r="B42" s="345"/>
      <c r="C42" s="361"/>
      <c r="D42" s="136" t="s">
        <v>180</v>
      </c>
      <c r="E42" s="136">
        <v>600</v>
      </c>
      <c r="F42" s="136">
        <v>4.5999999999999996</v>
      </c>
      <c r="G42" s="136">
        <f t="shared" ref="G42:G43" si="3">F42*E42</f>
        <v>2760</v>
      </c>
    </row>
    <row r="43" spans="2:7" x14ac:dyDescent="0.25">
      <c r="B43" s="345"/>
      <c r="C43" s="361"/>
      <c r="D43" s="132" t="s">
        <v>181</v>
      </c>
      <c r="E43" s="132">
        <v>600</v>
      </c>
      <c r="F43" s="132">
        <v>8</v>
      </c>
      <c r="G43" s="132">
        <f t="shared" si="3"/>
        <v>4800</v>
      </c>
    </row>
    <row r="44" spans="2:7" x14ac:dyDescent="0.25">
      <c r="B44" s="345"/>
      <c r="C44" s="340" t="s">
        <v>142</v>
      </c>
      <c r="D44" s="341"/>
      <c r="E44" s="132">
        <f>SUM(E41:E43)</f>
        <v>1800</v>
      </c>
      <c r="F44" s="137"/>
      <c r="G44" s="132">
        <f>SUM(G41:G43)</f>
        <v>8640</v>
      </c>
    </row>
    <row r="45" spans="2:7" x14ac:dyDescent="0.25">
      <c r="B45" s="345"/>
      <c r="C45" s="342" t="s">
        <v>175</v>
      </c>
      <c r="D45" s="343"/>
      <c r="E45" s="343"/>
      <c r="F45" s="344"/>
      <c r="G45" s="138">
        <f>G44/E44</f>
        <v>4.8</v>
      </c>
    </row>
    <row r="47" spans="2:7" x14ac:dyDescent="0.25">
      <c r="B47" s="345">
        <v>5</v>
      </c>
      <c r="C47" s="132" t="str">
        <f>Circuitos!I21</f>
        <v>Sala de Jantar</v>
      </c>
      <c r="D47" s="132" t="s">
        <v>45</v>
      </c>
      <c r="E47" s="132">
        <v>100</v>
      </c>
      <c r="F47" s="132">
        <v>5</v>
      </c>
      <c r="G47" s="132">
        <f>F47*E47</f>
        <v>500</v>
      </c>
    </row>
    <row r="48" spans="2:7" x14ac:dyDescent="0.25">
      <c r="B48" s="345"/>
      <c r="C48" s="351" t="str">
        <f>Circuitos!I22</f>
        <v>Sala de Estar</v>
      </c>
      <c r="D48" s="142" t="s">
        <v>45</v>
      </c>
      <c r="E48" s="142">
        <v>100</v>
      </c>
      <c r="F48" s="142">
        <v>8.6</v>
      </c>
      <c r="G48" s="142">
        <f t="shared" ref="G48:G67" si="4">F48*E48</f>
        <v>860</v>
      </c>
    </row>
    <row r="49" spans="2:7" x14ac:dyDescent="0.25">
      <c r="B49" s="345"/>
      <c r="C49" s="351"/>
      <c r="D49" s="132" t="s">
        <v>45</v>
      </c>
      <c r="E49" s="132">
        <v>100</v>
      </c>
      <c r="F49" s="132">
        <v>8.6</v>
      </c>
      <c r="G49" s="132">
        <f t="shared" si="4"/>
        <v>860</v>
      </c>
    </row>
    <row r="50" spans="2:7" x14ac:dyDescent="0.25">
      <c r="B50" s="345"/>
      <c r="C50" s="351"/>
      <c r="D50" s="142" t="s">
        <v>45</v>
      </c>
      <c r="E50" s="142">
        <v>100</v>
      </c>
      <c r="F50" s="142">
        <v>8.6</v>
      </c>
      <c r="G50" s="142">
        <f t="shared" si="4"/>
        <v>860</v>
      </c>
    </row>
    <row r="51" spans="2:7" x14ac:dyDescent="0.25">
      <c r="B51" s="345"/>
      <c r="C51" s="351"/>
      <c r="D51" s="132" t="s">
        <v>45</v>
      </c>
      <c r="E51" s="132">
        <v>100</v>
      </c>
      <c r="F51" s="132">
        <v>16.2</v>
      </c>
      <c r="G51" s="132">
        <f t="shared" si="4"/>
        <v>1620</v>
      </c>
    </row>
    <row r="52" spans="2:7" x14ac:dyDescent="0.25">
      <c r="B52" s="345"/>
      <c r="C52" s="351"/>
      <c r="D52" s="142" t="s">
        <v>45</v>
      </c>
      <c r="E52" s="142">
        <v>100</v>
      </c>
      <c r="F52" s="142">
        <v>16.2</v>
      </c>
      <c r="G52" s="142">
        <f t="shared" si="4"/>
        <v>1620</v>
      </c>
    </row>
    <row r="53" spans="2:7" x14ac:dyDescent="0.25">
      <c r="B53" s="345"/>
      <c r="C53" s="351"/>
      <c r="D53" s="132" t="s">
        <v>45</v>
      </c>
      <c r="E53" s="132">
        <v>100</v>
      </c>
      <c r="F53" s="132">
        <v>9.1999999999999993</v>
      </c>
      <c r="G53" s="132">
        <f t="shared" si="4"/>
        <v>919.99999999999989</v>
      </c>
    </row>
    <row r="54" spans="2:7" x14ac:dyDescent="0.25">
      <c r="B54" s="345"/>
      <c r="C54" s="351"/>
      <c r="D54" s="142" t="s">
        <v>45</v>
      </c>
      <c r="E54" s="142">
        <v>100</v>
      </c>
      <c r="F54" s="142">
        <v>9.8000000000000007</v>
      </c>
      <c r="G54" s="142">
        <f t="shared" si="4"/>
        <v>980.00000000000011</v>
      </c>
    </row>
    <row r="55" spans="2:7" x14ac:dyDescent="0.25">
      <c r="B55" s="345"/>
      <c r="C55" s="351"/>
      <c r="D55" s="132" t="s">
        <v>45</v>
      </c>
      <c r="E55" s="132">
        <v>100</v>
      </c>
      <c r="F55" s="132">
        <v>9.8000000000000007</v>
      </c>
      <c r="G55" s="132">
        <f t="shared" si="4"/>
        <v>980.00000000000011</v>
      </c>
    </row>
    <row r="56" spans="2:7" x14ac:dyDescent="0.25">
      <c r="B56" s="345"/>
      <c r="C56" s="351"/>
      <c r="D56" s="142" t="s">
        <v>45</v>
      </c>
      <c r="E56" s="142">
        <v>100</v>
      </c>
      <c r="F56" s="142">
        <v>9.8000000000000007</v>
      </c>
      <c r="G56" s="142">
        <f t="shared" si="4"/>
        <v>980.00000000000011</v>
      </c>
    </row>
    <row r="57" spans="2:7" x14ac:dyDescent="0.25">
      <c r="B57" s="345"/>
      <c r="C57" s="345" t="str">
        <f>Circuitos!I23</f>
        <v>Bancada Cozinha</v>
      </c>
      <c r="D57" s="132" t="s">
        <v>45</v>
      </c>
      <c r="E57" s="132">
        <v>100</v>
      </c>
      <c r="F57" s="132">
        <v>6.2</v>
      </c>
      <c r="G57" s="132">
        <f t="shared" si="4"/>
        <v>620</v>
      </c>
    </row>
    <row r="58" spans="2:7" x14ac:dyDescent="0.25">
      <c r="B58" s="345"/>
      <c r="C58" s="345"/>
      <c r="D58" s="142" t="s">
        <v>45</v>
      </c>
      <c r="E58" s="142">
        <v>100</v>
      </c>
      <c r="F58" s="142">
        <v>6.2</v>
      </c>
      <c r="G58" s="142">
        <f t="shared" si="4"/>
        <v>620</v>
      </c>
    </row>
    <row r="59" spans="2:7" x14ac:dyDescent="0.25">
      <c r="B59" s="345"/>
      <c r="C59" s="345"/>
      <c r="D59" s="132" t="s">
        <v>45</v>
      </c>
      <c r="E59" s="132">
        <v>100</v>
      </c>
      <c r="F59" s="132">
        <v>6.2</v>
      </c>
      <c r="G59" s="132">
        <f t="shared" si="4"/>
        <v>620</v>
      </c>
    </row>
    <row r="60" spans="2:7" x14ac:dyDescent="0.25">
      <c r="B60" s="345"/>
      <c r="C60" s="345"/>
      <c r="D60" s="142" t="s">
        <v>45</v>
      </c>
      <c r="E60" s="142">
        <v>100</v>
      </c>
      <c r="F60" s="142">
        <v>6.2</v>
      </c>
      <c r="G60" s="142">
        <f t="shared" si="4"/>
        <v>620</v>
      </c>
    </row>
    <row r="61" spans="2:7" x14ac:dyDescent="0.25">
      <c r="B61" s="345"/>
      <c r="C61" s="351" t="str">
        <f>Circuitos!I24</f>
        <v>Escada</v>
      </c>
      <c r="D61" s="132" t="s">
        <v>45</v>
      </c>
      <c r="E61" s="132">
        <v>100</v>
      </c>
      <c r="F61" s="132">
        <v>5.0999999999999996</v>
      </c>
      <c r="G61" s="132">
        <f t="shared" si="4"/>
        <v>509.99999999999994</v>
      </c>
    </row>
    <row r="62" spans="2:7" x14ac:dyDescent="0.25">
      <c r="B62" s="345"/>
      <c r="C62" s="351"/>
      <c r="D62" s="142" t="s">
        <v>45</v>
      </c>
      <c r="E62" s="142">
        <v>100</v>
      </c>
      <c r="F62" s="142">
        <v>5.0999999999999996</v>
      </c>
      <c r="G62" s="142">
        <f t="shared" si="4"/>
        <v>509.99999999999994</v>
      </c>
    </row>
    <row r="63" spans="2:7" x14ac:dyDescent="0.25">
      <c r="B63" s="345"/>
      <c r="C63" s="345" t="str">
        <f>Circuitos!I25</f>
        <v>Hall Escada</v>
      </c>
      <c r="D63" s="132" t="s">
        <v>45</v>
      </c>
      <c r="E63" s="132">
        <v>100</v>
      </c>
      <c r="F63" s="132">
        <v>1.1000000000000001</v>
      </c>
      <c r="G63" s="132">
        <f t="shared" si="4"/>
        <v>110.00000000000001</v>
      </c>
    </row>
    <row r="64" spans="2:7" x14ac:dyDescent="0.25">
      <c r="B64" s="345"/>
      <c r="C64" s="345"/>
      <c r="D64" s="136" t="s">
        <v>45</v>
      </c>
      <c r="E64" s="136">
        <v>100</v>
      </c>
      <c r="F64" s="136">
        <v>4.8</v>
      </c>
      <c r="G64" s="136">
        <f t="shared" si="4"/>
        <v>480</v>
      </c>
    </row>
    <row r="65" spans="2:7" x14ac:dyDescent="0.25">
      <c r="B65" s="345"/>
      <c r="C65" s="361" t="str">
        <f>Circuitos!I26</f>
        <v>Closet</v>
      </c>
      <c r="D65" s="132" t="s">
        <v>45</v>
      </c>
      <c r="E65" s="132">
        <v>100</v>
      </c>
      <c r="F65" s="132">
        <v>10.1</v>
      </c>
      <c r="G65" s="132">
        <f t="shared" si="4"/>
        <v>1010</v>
      </c>
    </row>
    <row r="66" spans="2:7" x14ac:dyDescent="0.25">
      <c r="B66" s="345"/>
      <c r="C66" s="361"/>
      <c r="D66" s="136" t="s">
        <v>45</v>
      </c>
      <c r="E66" s="136">
        <v>100</v>
      </c>
      <c r="F66" s="136">
        <v>10.1</v>
      </c>
      <c r="G66" s="136">
        <f t="shared" si="4"/>
        <v>1010</v>
      </c>
    </row>
    <row r="67" spans="2:7" x14ac:dyDescent="0.25">
      <c r="B67" s="345"/>
      <c r="C67" s="361"/>
      <c r="D67" s="132" t="s">
        <v>45</v>
      </c>
      <c r="E67" s="132">
        <v>100</v>
      </c>
      <c r="F67" s="132">
        <v>10.1</v>
      </c>
      <c r="G67" s="132">
        <f t="shared" si="4"/>
        <v>1010</v>
      </c>
    </row>
    <row r="68" spans="2:7" x14ac:dyDescent="0.25">
      <c r="B68" s="345"/>
      <c r="C68" s="340" t="s">
        <v>142</v>
      </c>
      <c r="D68" s="341"/>
      <c r="E68" s="132">
        <f>SUM(E47:E67)</f>
        <v>2100</v>
      </c>
      <c r="F68" s="137"/>
      <c r="G68" s="132">
        <f>SUM(G47:G67)</f>
        <v>17300</v>
      </c>
    </row>
    <row r="69" spans="2:7" x14ac:dyDescent="0.25">
      <c r="B69" s="345"/>
      <c r="C69" s="342" t="s">
        <v>175</v>
      </c>
      <c r="D69" s="343"/>
      <c r="E69" s="343"/>
      <c r="F69" s="344"/>
      <c r="G69" s="138">
        <f>G68/E68</f>
        <v>8.2380952380952372</v>
      </c>
    </row>
    <row r="70" spans="2:7" x14ac:dyDescent="0.25">
      <c r="B70" s="112"/>
    </row>
    <row r="71" spans="2:7" x14ac:dyDescent="0.25">
      <c r="B71" s="338">
        <v>6</v>
      </c>
      <c r="C71" s="348" t="str">
        <f>Circuitos!B31</f>
        <v>Chuveiro WC Hóspedes</v>
      </c>
      <c r="D71" s="348"/>
      <c r="E71" s="132">
        <f>Circuitos!C31</f>
        <v>7800</v>
      </c>
      <c r="F71" s="132">
        <v>7.5</v>
      </c>
      <c r="G71" s="132">
        <f>F71*E71</f>
        <v>58500</v>
      </c>
    </row>
    <row r="72" spans="2:7" x14ac:dyDescent="0.25">
      <c r="B72" s="339"/>
      <c r="C72" s="342" t="s">
        <v>175</v>
      </c>
      <c r="D72" s="343"/>
      <c r="E72" s="343"/>
      <c r="F72" s="344"/>
      <c r="G72" s="138">
        <f>G71/E71</f>
        <v>7.5</v>
      </c>
    </row>
    <row r="73" spans="2:7" x14ac:dyDescent="0.25">
      <c r="B73" s="112"/>
    </row>
    <row r="74" spans="2:7" x14ac:dyDescent="0.25">
      <c r="B74" s="367">
        <v>7</v>
      </c>
      <c r="C74" s="351" t="str">
        <f>Circuitos!I31</f>
        <v>Suite 2</v>
      </c>
      <c r="D74" s="142" t="s">
        <v>45</v>
      </c>
      <c r="E74" s="142">
        <v>100</v>
      </c>
      <c r="F74" s="142">
        <v>13.6</v>
      </c>
      <c r="G74" s="142">
        <f>F74*E74</f>
        <v>1360</v>
      </c>
    </row>
    <row r="75" spans="2:7" x14ac:dyDescent="0.25">
      <c r="B75" s="367"/>
      <c r="C75" s="351"/>
      <c r="D75" s="141" t="s">
        <v>45</v>
      </c>
      <c r="E75" s="141">
        <v>100</v>
      </c>
      <c r="F75" s="141">
        <v>15.6</v>
      </c>
      <c r="G75" s="141">
        <f t="shared" ref="G75:G83" si="5">F75*E75</f>
        <v>1560</v>
      </c>
    </row>
    <row r="76" spans="2:7" x14ac:dyDescent="0.25">
      <c r="B76" s="367"/>
      <c r="C76" s="351"/>
      <c r="D76" s="142" t="s">
        <v>45</v>
      </c>
      <c r="E76" s="142">
        <v>100</v>
      </c>
      <c r="F76" s="142">
        <v>13.9</v>
      </c>
      <c r="G76" s="142">
        <f t="shared" si="5"/>
        <v>1390</v>
      </c>
    </row>
    <row r="77" spans="2:7" x14ac:dyDescent="0.25">
      <c r="B77" s="367"/>
      <c r="C77" s="351"/>
      <c r="D77" s="141" t="s">
        <v>45</v>
      </c>
      <c r="E77" s="141">
        <v>100</v>
      </c>
      <c r="F77" s="141">
        <v>13.9</v>
      </c>
      <c r="G77" s="141">
        <f t="shared" si="5"/>
        <v>1390</v>
      </c>
    </row>
    <row r="78" spans="2:7" x14ac:dyDescent="0.25">
      <c r="B78" s="367"/>
      <c r="C78" s="141" t="str">
        <f>Circuitos!I32</f>
        <v>WC 1</v>
      </c>
      <c r="D78" s="142" t="s">
        <v>45</v>
      </c>
      <c r="E78" s="142">
        <v>600</v>
      </c>
      <c r="F78" s="142">
        <v>6.8</v>
      </c>
      <c r="G78" s="142">
        <f t="shared" si="5"/>
        <v>4080</v>
      </c>
    </row>
    <row r="79" spans="2:7" x14ac:dyDescent="0.25">
      <c r="B79" s="367"/>
      <c r="C79" s="142" t="str">
        <f>Circuitos!I33</f>
        <v>WC 2</v>
      </c>
      <c r="D79" s="141" t="s">
        <v>45</v>
      </c>
      <c r="E79" s="141">
        <v>600</v>
      </c>
      <c r="F79" s="141">
        <v>7.2</v>
      </c>
      <c r="G79" s="141">
        <f t="shared" si="5"/>
        <v>4320</v>
      </c>
    </row>
    <row r="80" spans="2:7" x14ac:dyDescent="0.25">
      <c r="B80" s="367"/>
      <c r="C80" s="367" t="str">
        <f>Circuitos!I34</f>
        <v>Suite 1</v>
      </c>
      <c r="D80" s="142" t="s">
        <v>45</v>
      </c>
      <c r="E80" s="142">
        <v>100</v>
      </c>
      <c r="F80" s="142">
        <v>12.8</v>
      </c>
      <c r="G80" s="142">
        <f t="shared" si="5"/>
        <v>1280</v>
      </c>
    </row>
    <row r="81" spans="2:7" x14ac:dyDescent="0.25">
      <c r="B81" s="367"/>
      <c r="C81" s="367"/>
      <c r="D81" s="141" t="s">
        <v>45</v>
      </c>
      <c r="E81" s="141">
        <v>100</v>
      </c>
      <c r="F81" s="141">
        <v>12</v>
      </c>
      <c r="G81" s="141">
        <f t="shared" si="5"/>
        <v>1200</v>
      </c>
    </row>
    <row r="82" spans="2:7" x14ac:dyDescent="0.25">
      <c r="B82" s="367"/>
      <c r="C82" s="367"/>
      <c r="D82" s="142" t="s">
        <v>45</v>
      </c>
      <c r="E82" s="142">
        <v>100</v>
      </c>
      <c r="F82" s="142">
        <v>11.6</v>
      </c>
      <c r="G82" s="142">
        <f t="shared" si="5"/>
        <v>1160</v>
      </c>
    </row>
    <row r="83" spans="2:7" x14ac:dyDescent="0.25">
      <c r="B83" s="367"/>
      <c r="C83" s="367"/>
      <c r="D83" s="141" t="s">
        <v>45</v>
      </c>
      <c r="E83" s="141">
        <v>100</v>
      </c>
      <c r="F83" s="141">
        <v>11.1</v>
      </c>
      <c r="G83" s="141">
        <f t="shared" si="5"/>
        <v>1110</v>
      </c>
    </row>
    <row r="84" spans="2:7" x14ac:dyDescent="0.25">
      <c r="B84" s="367"/>
      <c r="C84" s="355" t="s">
        <v>142</v>
      </c>
      <c r="D84" s="356"/>
      <c r="E84" s="141">
        <f>SUM(E74:E83)</f>
        <v>2000</v>
      </c>
      <c r="F84" s="144"/>
      <c r="G84" s="141">
        <f>SUM(G74:G83)</f>
        <v>18850</v>
      </c>
    </row>
    <row r="85" spans="2:7" x14ac:dyDescent="0.25">
      <c r="B85" s="367"/>
      <c r="C85" s="357" t="s">
        <v>175</v>
      </c>
      <c r="D85" s="358"/>
      <c r="E85" s="358"/>
      <c r="F85" s="359"/>
      <c r="G85" s="146">
        <f>G84/E84</f>
        <v>9.4250000000000007</v>
      </c>
    </row>
    <row r="86" spans="2:7" x14ac:dyDescent="0.25">
      <c r="B86" s="147"/>
      <c r="C86" s="148"/>
      <c r="D86" s="148"/>
      <c r="E86" s="148"/>
      <c r="F86" s="148"/>
      <c r="G86" s="149"/>
    </row>
    <row r="87" spans="2:7" x14ac:dyDescent="0.25">
      <c r="B87" s="352">
        <v>8</v>
      </c>
      <c r="C87" s="349" t="str">
        <f>Circuitos!B35</f>
        <v>Sacada</v>
      </c>
      <c r="D87" s="153" t="s">
        <v>45</v>
      </c>
      <c r="E87" s="153">
        <v>100</v>
      </c>
      <c r="F87" s="153">
        <v>10.45</v>
      </c>
      <c r="G87" s="142">
        <f>F87*E87</f>
        <v>1045</v>
      </c>
    </row>
    <row r="88" spans="2:7" x14ac:dyDescent="0.25">
      <c r="B88" s="353"/>
      <c r="C88" s="349"/>
      <c r="D88" s="143" t="s">
        <v>45</v>
      </c>
      <c r="E88" s="143">
        <v>100</v>
      </c>
      <c r="F88" s="143">
        <v>10.45</v>
      </c>
      <c r="G88" s="141">
        <f t="shared" ref="G88:G96" si="6">F88*E88</f>
        <v>1045</v>
      </c>
    </row>
    <row r="89" spans="2:7" x14ac:dyDescent="0.25">
      <c r="B89" s="353"/>
      <c r="C89" s="350" t="str">
        <f>Circuitos!B36</f>
        <v>Suite casal</v>
      </c>
      <c r="D89" s="153" t="s">
        <v>45</v>
      </c>
      <c r="E89" s="153">
        <v>100</v>
      </c>
      <c r="F89" s="153">
        <v>9.4499999999999993</v>
      </c>
      <c r="G89" s="142">
        <f t="shared" si="6"/>
        <v>944.99999999999989</v>
      </c>
    </row>
    <row r="90" spans="2:7" x14ac:dyDescent="0.25">
      <c r="B90" s="353"/>
      <c r="C90" s="350"/>
      <c r="D90" s="143" t="s">
        <v>45</v>
      </c>
      <c r="E90" s="143">
        <v>100</v>
      </c>
      <c r="F90" s="143">
        <v>7</v>
      </c>
      <c r="G90" s="141">
        <f t="shared" si="6"/>
        <v>700</v>
      </c>
    </row>
    <row r="91" spans="2:7" x14ac:dyDescent="0.25">
      <c r="B91" s="353"/>
      <c r="C91" s="350"/>
      <c r="D91" s="153" t="s">
        <v>45</v>
      </c>
      <c r="E91" s="153">
        <v>100</v>
      </c>
      <c r="F91" s="153">
        <v>4.5</v>
      </c>
      <c r="G91" s="142">
        <f t="shared" si="6"/>
        <v>450</v>
      </c>
    </row>
    <row r="92" spans="2:7" x14ac:dyDescent="0.25">
      <c r="B92" s="353"/>
      <c r="C92" s="350"/>
      <c r="D92" s="143" t="s">
        <v>45</v>
      </c>
      <c r="E92" s="143">
        <v>100</v>
      </c>
      <c r="F92" s="143">
        <v>6.2</v>
      </c>
      <c r="G92" s="141">
        <f t="shared" si="6"/>
        <v>620</v>
      </c>
    </row>
    <row r="93" spans="2:7" x14ac:dyDescent="0.25">
      <c r="B93" s="353"/>
      <c r="C93" s="351" t="str">
        <f>Circuitos!B37</f>
        <v>Banho</v>
      </c>
      <c r="D93" s="153" t="s">
        <v>45</v>
      </c>
      <c r="E93" s="153">
        <v>100</v>
      </c>
      <c r="F93" s="153">
        <v>8.65</v>
      </c>
      <c r="G93" s="142">
        <f t="shared" si="6"/>
        <v>865</v>
      </c>
    </row>
    <row r="94" spans="2:7" x14ac:dyDescent="0.25">
      <c r="B94" s="353"/>
      <c r="C94" s="351"/>
      <c r="D94" s="143" t="s">
        <v>45</v>
      </c>
      <c r="E94" s="143">
        <v>600</v>
      </c>
      <c r="F94" s="143">
        <v>8.4499999999999993</v>
      </c>
      <c r="G94" s="141">
        <f t="shared" si="6"/>
        <v>5070</v>
      </c>
    </row>
    <row r="95" spans="2:7" x14ac:dyDescent="0.25">
      <c r="B95" s="353"/>
      <c r="C95" s="351"/>
      <c r="D95" s="153" t="s">
        <v>45</v>
      </c>
      <c r="E95" s="153">
        <v>100</v>
      </c>
      <c r="F95" s="153">
        <v>8.3000000000000007</v>
      </c>
      <c r="G95" s="142">
        <f t="shared" si="6"/>
        <v>830.00000000000011</v>
      </c>
    </row>
    <row r="96" spans="2:7" x14ac:dyDescent="0.25">
      <c r="B96" s="353"/>
      <c r="C96" s="351"/>
      <c r="D96" s="143" t="s">
        <v>45</v>
      </c>
      <c r="E96" s="143">
        <v>600</v>
      </c>
      <c r="F96" s="143">
        <v>8.4499999999999993</v>
      </c>
      <c r="G96" s="141">
        <f t="shared" si="6"/>
        <v>5070</v>
      </c>
    </row>
    <row r="97" spans="2:7" x14ac:dyDescent="0.25">
      <c r="B97" s="353"/>
      <c r="C97" s="355" t="s">
        <v>142</v>
      </c>
      <c r="D97" s="356"/>
      <c r="E97" s="143">
        <f>SUM(E87:E96)</f>
        <v>2000</v>
      </c>
      <c r="F97" s="152"/>
      <c r="G97" s="141">
        <f>SUM(G87:G96)</f>
        <v>16640</v>
      </c>
    </row>
    <row r="98" spans="2:7" x14ac:dyDescent="0.25">
      <c r="B98" s="354"/>
      <c r="C98" s="357" t="s">
        <v>175</v>
      </c>
      <c r="D98" s="358"/>
      <c r="E98" s="358"/>
      <c r="F98" s="359"/>
      <c r="G98" s="146">
        <f>G97/E97</f>
        <v>8.32</v>
      </c>
    </row>
    <row r="100" spans="2:7" x14ac:dyDescent="0.25">
      <c r="B100" s="345">
        <v>9</v>
      </c>
      <c r="C100" s="348" t="str">
        <f>Circuitos!I38</f>
        <v>Chuveiro WC Casal 1</v>
      </c>
      <c r="D100" s="348"/>
      <c r="E100" s="145">
        <f>Circuitos!J38</f>
        <v>7800</v>
      </c>
      <c r="F100" s="145">
        <v>5</v>
      </c>
      <c r="G100" s="132">
        <f>F100*E100</f>
        <v>39000</v>
      </c>
    </row>
    <row r="101" spans="2:7" x14ac:dyDescent="0.25">
      <c r="B101" s="345"/>
      <c r="C101" s="342" t="s">
        <v>175</v>
      </c>
      <c r="D101" s="343"/>
      <c r="E101" s="343"/>
      <c r="F101" s="344"/>
      <c r="G101" s="138">
        <f>G100/E100</f>
        <v>5</v>
      </c>
    </row>
    <row r="103" spans="2:7" x14ac:dyDescent="0.25">
      <c r="B103" s="345">
        <v>10</v>
      </c>
      <c r="C103" s="348" t="str">
        <f>Circuitos!B41</f>
        <v>Chuveiro WC Casal 2</v>
      </c>
      <c r="D103" s="348"/>
      <c r="E103" s="145">
        <f>Circuitos!C41</f>
        <v>7800</v>
      </c>
      <c r="F103" s="145">
        <v>3.2</v>
      </c>
      <c r="G103" s="132">
        <f>E103*F103</f>
        <v>24960</v>
      </c>
    </row>
    <row r="104" spans="2:7" x14ac:dyDescent="0.25">
      <c r="B104" s="345"/>
      <c r="C104" s="342" t="s">
        <v>175</v>
      </c>
      <c r="D104" s="343"/>
      <c r="E104" s="343"/>
      <c r="F104" s="344"/>
      <c r="G104" s="138">
        <f>G103/E103</f>
        <v>3.2</v>
      </c>
    </row>
    <row r="106" spans="2:7" x14ac:dyDescent="0.25">
      <c r="B106" s="345">
        <v>11</v>
      </c>
      <c r="C106" s="364" t="str">
        <f>Circuitos!I42</f>
        <v>Garagem</v>
      </c>
      <c r="D106" s="136" t="s">
        <v>45</v>
      </c>
      <c r="E106" s="136">
        <v>600</v>
      </c>
      <c r="F106" s="136">
        <v>9.6</v>
      </c>
      <c r="G106" s="136">
        <f>F106*E106</f>
        <v>5760</v>
      </c>
    </row>
    <row r="107" spans="2:7" x14ac:dyDescent="0.25">
      <c r="B107" s="345"/>
      <c r="C107" s="365"/>
      <c r="D107" s="132" t="s">
        <v>45</v>
      </c>
      <c r="E107" s="132">
        <v>600</v>
      </c>
      <c r="F107" s="132">
        <v>11.1</v>
      </c>
      <c r="G107" s="132">
        <f t="shared" ref="G107:G110" si="7">F107*E107</f>
        <v>6660</v>
      </c>
    </row>
    <row r="108" spans="2:7" x14ac:dyDescent="0.25">
      <c r="B108" s="345"/>
      <c r="C108" s="365"/>
      <c r="D108" s="136" t="s">
        <v>45</v>
      </c>
      <c r="E108" s="136">
        <v>600</v>
      </c>
      <c r="F108" s="136">
        <v>13.2</v>
      </c>
      <c r="G108" s="136">
        <f t="shared" si="7"/>
        <v>7920</v>
      </c>
    </row>
    <row r="109" spans="2:7" x14ac:dyDescent="0.25">
      <c r="B109" s="345"/>
      <c r="C109" s="365"/>
      <c r="D109" s="132" t="s">
        <v>45</v>
      </c>
      <c r="E109" s="132">
        <v>100</v>
      </c>
      <c r="F109" s="132">
        <v>8.5</v>
      </c>
      <c r="G109" s="132">
        <f t="shared" si="7"/>
        <v>850</v>
      </c>
    </row>
    <row r="110" spans="2:7" x14ac:dyDescent="0.25">
      <c r="B110" s="345"/>
      <c r="C110" s="366"/>
      <c r="D110" s="136" t="s">
        <v>45</v>
      </c>
      <c r="E110" s="136">
        <v>100</v>
      </c>
      <c r="F110" s="136">
        <v>14.4</v>
      </c>
      <c r="G110" s="136">
        <f t="shared" si="7"/>
        <v>1440</v>
      </c>
    </row>
    <row r="111" spans="2:7" x14ac:dyDescent="0.25">
      <c r="B111" s="345"/>
      <c r="C111" s="340" t="s">
        <v>142</v>
      </c>
      <c r="D111" s="341"/>
      <c r="E111" s="132">
        <f>SUM(E106:E110)</f>
        <v>2000</v>
      </c>
      <c r="F111" s="137"/>
      <c r="G111" s="132">
        <f>SUM(G106:G110)</f>
        <v>22630</v>
      </c>
    </row>
    <row r="112" spans="2:7" x14ac:dyDescent="0.25">
      <c r="B112" s="345"/>
      <c r="C112" s="342" t="s">
        <v>175</v>
      </c>
      <c r="D112" s="343"/>
      <c r="E112" s="343"/>
      <c r="F112" s="344"/>
      <c r="G112" s="138">
        <f>G111/E111</f>
        <v>11.315</v>
      </c>
    </row>
    <row r="114" spans="2:9" x14ac:dyDescent="0.25">
      <c r="B114" s="345">
        <v>12</v>
      </c>
      <c r="C114" s="348" t="str">
        <f>Circuitos!B45</f>
        <v>Banheira</v>
      </c>
      <c r="D114" s="348"/>
      <c r="E114" s="132">
        <f>Circuitos!C45</f>
        <v>4000</v>
      </c>
      <c r="F114" s="132">
        <v>3.6</v>
      </c>
      <c r="G114" s="132">
        <f>F114*E114</f>
        <v>14400</v>
      </c>
    </row>
    <row r="115" spans="2:9" x14ac:dyDescent="0.25">
      <c r="B115" s="345"/>
      <c r="C115" s="342" t="s">
        <v>175</v>
      </c>
      <c r="D115" s="343"/>
      <c r="E115" s="343"/>
      <c r="F115" s="344"/>
      <c r="G115" s="138">
        <f>G114/E114</f>
        <v>3.6</v>
      </c>
    </row>
    <row r="117" spans="2:9" x14ac:dyDescent="0.25">
      <c r="B117" s="338">
        <v>13</v>
      </c>
      <c r="C117" s="340" t="str">
        <f>Circuitos!I46</f>
        <v>Chuveiro WC Suite 1</v>
      </c>
      <c r="D117" s="341"/>
      <c r="E117" s="132">
        <f>Circuitos!J46</f>
        <v>7800</v>
      </c>
      <c r="F117" s="132">
        <v>7</v>
      </c>
      <c r="G117" s="132">
        <f>F117*E117</f>
        <v>54600</v>
      </c>
    </row>
    <row r="118" spans="2:9" x14ac:dyDescent="0.25">
      <c r="B118" s="339"/>
      <c r="C118" s="342" t="s">
        <v>175</v>
      </c>
      <c r="D118" s="343"/>
      <c r="E118" s="343"/>
      <c r="F118" s="344"/>
      <c r="G118" s="138">
        <f>G117/E117</f>
        <v>7</v>
      </c>
    </row>
    <row r="120" spans="2:9" x14ac:dyDescent="0.25">
      <c r="B120" s="345">
        <v>14</v>
      </c>
      <c r="C120" s="340" t="str">
        <f>Circuitos!B49</f>
        <v>Chuveiro WC Suite 2</v>
      </c>
      <c r="D120" s="341"/>
      <c r="E120" s="132">
        <f>Circuitos!C49</f>
        <v>7800</v>
      </c>
      <c r="F120" s="132">
        <v>7</v>
      </c>
      <c r="G120" s="132">
        <f>F120*E120</f>
        <v>54600</v>
      </c>
    </row>
    <row r="121" spans="2:9" x14ac:dyDescent="0.25">
      <c r="B121" s="345"/>
      <c r="C121" s="342" t="s">
        <v>175</v>
      </c>
      <c r="D121" s="343"/>
      <c r="E121" s="343"/>
      <c r="F121" s="344"/>
      <c r="G121" s="138">
        <f>G120/E120</f>
        <v>7</v>
      </c>
    </row>
    <row r="123" spans="2:9" x14ac:dyDescent="0.25">
      <c r="B123" s="338">
        <v>15</v>
      </c>
      <c r="C123" s="150" t="s">
        <v>182</v>
      </c>
      <c r="D123" s="345" t="s">
        <v>174</v>
      </c>
      <c r="E123" s="154">
        <v>1080</v>
      </c>
      <c r="F123" s="132">
        <v>23</v>
      </c>
      <c r="G123" s="132">
        <f>F123*E123</f>
        <v>24840</v>
      </c>
      <c r="I123" s="131"/>
    </row>
    <row r="124" spans="2:9" x14ac:dyDescent="0.25">
      <c r="B124" s="362"/>
      <c r="C124" s="150" t="s">
        <v>183</v>
      </c>
      <c r="D124" s="345"/>
      <c r="E124" s="154">
        <v>84</v>
      </c>
      <c r="F124" s="132">
        <v>45</v>
      </c>
      <c r="G124" s="132">
        <f>F124*E124</f>
        <v>3780</v>
      </c>
    </row>
    <row r="125" spans="2:9" x14ac:dyDescent="0.25">
      <c r="B125" s="362"/>
      <c r="C125" s="340" t="s">
        <v>142</v>
      </c>
      <c r="D125" s="363"/>
      <c r="E125" s="154">
        <f>SUM(E123:E124)</f>
        <v>1164</v>
      </c>
      <c r="F125" s="155"/>
      <c r="G125" s="132">
        <f>SUM(G123:G124)</f>
        <v>28620</v>
      </c>
    </row>
    <row r="126" spans="2:9" x14ac:dyDescent="0.25">
      <c r="B126" s="339"/>
      <c r="C126" s="342" t="s">
        <v>175</v>
      </c>
      <c r="D126" s="343"/>
      <c r="E126" s="343"/>
      <c r="F126" s="344"/>
      <c r="G126" s="138">
        <f>G125/E125</f>
        <v>24.587628865979383</v>
      </c>
    </row>
    <row r="128" spans="2:9" x14ac:dyDescent="0.25">
      <c r="B128" s="338">
        <v>16</v>
      </c>
      <c r="C128" s="133" t="str">
        <f>Lâmpadas!A18</f>
        <v>Sacada</v>
      </c>
      <c r="D128" s="345" t="s">
        <v>174</v>
      </c>
      <c r="E128" s="132">
        <f>Lâmpadas!Z18</f>
        <v>22</v>
      </c>
      <c r="F128" s="132">
        <v>4.2</v>
      </c>
      <c r="G128" s="132">
        <f t="shared" ref="G128:G137" si="8">E128*F128</f>
        <v>92.4</v>
      </c>
    </row>
    <row r="129" spans="2:7" x14ac:dyDescent="0.25">
      <c r="B129" s="362"/>
      <c r="C129" s="135" t="str">
        <f>Lâmpadas!A19</f>
        <v>Suite casal</v>
      </c>
      <c r="D129" s="345"/>
      <c r="E129" s="136">
        <f>Lâmpadas!Z19</f>
        <v>134</v>
      </c>
      <c r="F129" s="136">
        <v>9.4499999999999993</v>
      </c>
      <c r="G129" s="136">
        <f t="shared" si="8"/>
        <v>1266.3</v>
      </c>
    </row>
    <row r="130" spans="2:7" x14ac:dyDescent="0.25">
      <c r="B130" s="362"/>
      <c r="C130" s="133" t="str">
        <f>Lâmpadas!A22</f>
        <v>Suite 2</v>
      </c>
      <c r="D130" s="345"/>
      <c r="E130" s="132">
        <f>Lâmpadas!Z22</f>
        <v>126</v>
      </c>
      <c r="F130" s="132">
        <v>14.5</v>
      </c>
      <c r="G130" s="132">
        <f t="shared" si="8"/>
        <v>1827</v>
      </c>
    </row>
    <row r="131" spans="2:7" x14ac:dyDescent="0.25">
      <c r="B131" s="362"/>
      <c r="C131" s="135" t="str">
        <f>Lâmpadas!A24</f>
        <v>Closet</v>
      </c>
      <c r="D131" s="345"/>
      <c r="E131" s="136">
        <f>Lâmpadas!Z24</f>
        <v>72</v>
      </c>
      <c r="F131" s="136">
        <v>9.1999999999999993</v>
      </c>
      <c r="G131" s="136">
        <f t="shared" si="8"/>
        <v>662.4</v>
      </c>
    </row>
    <row r="132" spans="2:7" x14ac:dyDescent="0.25">
      <c r="B132" s="362"/>
      <c r="C132" s="133" t="str">
        <f>Lâmpadas!A26</f>
        <v>WC 1</v>
      </c>
      <c r="D132" s="345"/>
      <c r="E132" s="132">
        <f>Lâmpadas!Z26</f>
        <v>74</v>
      </c>
      <c r="F132" s="132">
        <v>6.8</v>
      </c>
      <c r="G132" s="132">
        <f t="shared" si="8"/>
        <v>503.2</v>
      </c>
    </row>
    <row r="133" spans="2:7" x14ac:dyDescent="0.25">
      <c r="B133" s="362"/>
      <c r="C133" s="135" t="str">
        <f>Lâmpadas!A28</f>
        <v>WC 2</v>
      </c>
      <c r="D133" s="345"/>
      <c r="E133" s="136">
        <f>Lâmpadas!Z28</f>
        <v>74</v>
      </c>
      <c r="F133" s="136">
        <v>8.1</v>
      </c>
      <c r="G133" s="136">
        <f t="shared" si="8"/>
        <v>599.4</v>
      </c>
    </row>
    <row r="134" spans="2:7" x14ac:dyDescent="0.25">
      <c r="B134" s="362"/>
      <c r="C134" s="133" t="str">
        <f>Lâmpadas!A30</f>
        <v>Banho</v>
      </c>
      <c r="D134" s="345"/>
      <c r="E134" s="132">
        <f>Lâmpadas!Z30</f>
        <v>136</v>
      </c>
      <c r="F134" s="132">
        <v>12.4</v>
      </c>
      <c r="G134" s="132">
        <f t="shared" si="8"/>
        <v>1686.4</v>
      </c>
    </row>
    <row r="135" spans="2:7" x14ac:dyDescent="0.25">
      <c r="B135" s="362"/>
      <c r="C135" s="135" t="str">
        <f>Lâmpadas!A33</f>
        <v>Suite 1</v>
      </c>
      <c r="D135" s="345"/>
      <c r="E135" s="136">
        <f>Lâmpadas!Z33</f>
        <v>142</v>
      </c>
      <c r="F135" s="136">
        <v>12</v>
      </c>
      <c r="G135" s="136">
        <f t="shared" si="8"/>
        <v>1704</v>
      </c>
    </row>
    <row r="136" spans="2:7" x14ac:dyDescent="0.25">
      <c r="B136" s="362"/>
      <c r="C136" s="133" t="str">
        <f>Lâmpadas!A36</f>
        <v>Escada</v>
      </c>
      <c r="D136" s="345"/>
      <c r="E136" s="132">
        <f>Lâmpadas!Z36</f>
        <v>34</v>
      </c>
      <c r="F136" s="132">
        <v>5</v>
      </c>
      <c r="G136" s="132">
        <f t="shared" si="8"/>
        <v>170</v>
      </c>
    </row>
    <row r="137" spans="2:7" x14ac:dyDescent="0.25">
      <c r="B137" s="362"/>
      <c r="C137" s="135" t="str">
        <f>Lâmpadas!A37</f>
        <v>Hall Escada</v>
      </c>
      <c r="D137" s="345"/>
      <c r="E137" s="136">
        <f>Lâmpadas!Z37</f>
        <v>92</v>
      </c>
      <c r="F137" s="136">
        <v>2.6</v>
      </c>
      <c r="G137" s="136">
        <f t="shared" si="8"/>
        <v>239.20000000000002</v>
      </c>
    </row>
    <row r="138" spans="2:7" x14ac:dyDescent="0.25">
      <c r="B138" s="362"/>
      <c r="C138" s="340" t="s">
        <v>142</v>
      </c>
      <c r="D138" s="363"/>
      <c r="E138" s="154">
        <f>SUM(E128:E137)</f>
        <v>906</v>
      </c>
      <c r="F138" s="155"/>
      <c r="G138" s="132">
        <f>SUM(G128:G137)</f>
        <v>8750.3000000000011</v>
      </c>
    </row>
    <row r="139" spans="2:7" x14ac:dyDescent="0.25">
      <c r="B139" s="339"/>
      <c r="C139" s="342" t="s">
        <v>175</v>
      </c>
      <c r="D139" s="343"/>
      <c r="E139" s="343"/>
      <c r="F139" s="344"/>
      <c r="G139" s="138">
        <f>G138/E138</f>
        <v>9.6581677704194266</v>
      </c>
    </row>
  </sheetData>
  <mergeCells count="68">
    <mergeCell ref="C74:C77"/>
    <mergeCell ref="C80:C83"/>
    <mergeCell ref="B74:B85"/>
    <mergeCell ref="B4:B17"/>
    <mergeCell ref="D4:D15"/>
    <mergeCell ref="C33:C37"/>
    <mergeCell ref="C41:C43"/>
    <mergeCell ref="B33:B39"/>
    <mergeCell ref="B41:B45"/>
    <mergeCell ref="C84:D84"/>
    <mergeCell ref="C44:D44"/>
    <mergeCell ref="C45:F45"/>
    <mergeCell ref="C68:D68"/>
    <mergeCell ref="C69:F69"/>
    <mergeCell ref="B71:B72"/>
    <mergeCell ref="C72:F72"/>
    <mergeCell ref="B128:B139"/>
    <mergeCell ref="D128:D137"/>
    <mergeCell ref="C138:D138"/>
    <mergeCell ref="C139:F139"/>
    <mergeCell ref="C85:F85"/>
    <mergeCell ref="C114:D114"/>
    <mergeCell ref="B114:B115"/>
    <mergeCell ref="B106:B112"/>
    <mergeCell ref="C115:F115"/>
    <mergeCell ref="C106:C110"/>
    <mergeCell ref="C111:D111"/>
    <mergeCell ref="C112:F112"/>
    <mergeCell ref="D123:D124"/>
    <mergeCell ref="C125:D125"/>
    <mergeCell ref="B123:B126"/>
    <mergeCell ref="C126:F126"/>
    <mergeCell ref="C65:C67"/>
    <mergeCell ref="C57:C60"/>
    <mergeCell ref="C61:C62"/>
    <mergeCell ref="C63:C64"/>
    <mergeCell ref="C48:C56"/>
    <mergeCell ref="B2:G2"/>
    <mergeCell ref="C16:D16"/>
    <mergeCell ref="C17:F17"/>
    <mergeCell ref="C30:D30"/>
    <mergeCell ref="C31:F31"/>
    <mergeCell ref="C20:C22"/>
    <mergeCell ref="C25:C27"/>
    <mergeCell ref="C28:C29"/>
    <mergeCell ref="B20:B31"/>
    <mergeCell ref="C38:D38"/>
    <mergeCell ref="C39:F39"/>
    <mergeCell ref="C100:D100"/>
    <mergeCell ref="B100:B101"/>
    <mergeCell ref="B103:B104"/>
    <mergeCell ref="C101:F101"/>
    <mergeCell ref="C103:D103"/>
    <mergeCell ref="C104:F104"/>
    <mergeCell ref="C87:C88"/>
    <mergeCell ref="C89:C92"/>
    <mergeCell ref="C93:C96"/>
    <mergeCell ref="B87:B98"/>
    <mergeCell ref="C97:D97"/>
    <mergeCell ref="C98:F98"/>
    <mergeCell ref="B47:B69"/>
    <mergeCell ref="C71:D71"/>
    <mergeCell ref="B117:B118"/>
    <mergeCell ref="C117:D117"/>
    <mergeCell ref="C118:F118"/>
    <mergeCell ref="B120:B121"/>
    <mergeCell ref="C121:F121"/>
    <mergeCell ref="C120:D120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A822B1-8E17-4061-9C14-62EBFB64BE98}">
  <dimension ref="A1:E37"/>
  <sheetViews>
    <sheetView showGridLines="0" zoomScale="70" zoomScaleNormal="70" workbookViewId="0">
      <selection activeCell="A2" sqref="A2:E37"/>
    </sheetView>
  </sheetViews>
  <sheetFormatPr defaultRowHeight="15" x14ac:dyDescent="0.25"/>
  <cols>
    <col min="1" max="1" width="26.5703125" customWidth="1"/>
    <col min="2" max="2" width="22.140625" customWidth="1"/>
    <col min="3" max="3" width="15.7109375" customWidth="1"/>
    <col min="4" max="4" width="14.42578125" customWidth="1"/>
    <col min="5" max="5" width="13" customWidth="1"/>
  </cols>
  <sheetData>
    <row r="1" spans="1:5" x14ac:dyDescent="0.25">
      <c r="A1" s="60" t="s">
        <v>50</v>
      </c>
      <c r="B1" s="59" t="s">
        <v>51</v>
      </c>
      <c r="C1" s="59" t="s">
        <v>52</v>
      </c>
      <c r="D1" s="59" t="s">
        <v>53</v>
      </c>
      <c r="E1" s="67" t="s">
        <v>54</v>
      </c>
    </row>
    <row r="2" spans="1:5" ht="88.5" customHeight="1" x14ac:dyDescent="0.25">
      <c r="A2" s="46"/>
      <c r="B2" s="61" t="s">
        <v>22</v>
      </c>
      <c r="C2" s="42">
        <v>728.58</v>
      </c>
      <c r="D2" s="42">
        <v>4</v>
      </c>
      <c r="E2" s="68">
        <f>C2*D2</f>
        <v>2914.32</v>
      </c>
    </row>
    <row r="3" spans="1:5" ht="107.25" customHeight="1" x14ac:dyDescent="0.25">
      <c r="A3" s="46"/>
      <c r="B3" s="61" t="s">
        <v>55</v>
      </c>
      <c r="C3" s="42">
        <v>14.99</v>
      </c>
      <c r="D3" s="42">
        <v>24</v>
      </c>
      <c r="E3" s="68">
        <f>C3*D3</f>
        <v>359.76</v>
      </c>
    </row>
    <row r="4" spans="1:5" ht="72.75" customHeight="1" x14ac:dyDescent="0.25">
      <c r="A4" s="46"/>
      <c r="B4" s="61" t="s">
        <v>49</v>
      </c>
      <c r="C4" s="42">
        <v>109.9</v>
      </c>
      <c r="D4" s="42">
        <v>8</v>
      </c>
      <c r="E4" s="68">
        <f t="shared" ref="E4:E18" si="0">C4*D4</f>
        <v>879.2</v>
      </c>
    </row>
    <row r="5" spans="1:5" ht="72" customHeight="1" x14ac:dyDescent="0.25">
      <c r="A5" s="46"/>
      <c r="B5" s="69" t="s">
        <v>56</v>
      </c>
      <c r="C5" s="42">
        <v>13.62</v>
      </c>
      <c r="D5" s="42">
        <v>8</v>
      </c>
      <c r="E5" s="68">
        <f t="shared" si="0"/>
        <v>108.96</v>
      </c>
    </row>
    <row r="6" spans="1:5" ht="93" customHeight="1" x14ac:dyDescent="0.25">
      <c r="A6" s="46"/>
      <c r="B6" s="61" t="s">
        <v>57</v>
      </c>
      <c r="C6" s="42"/>
      <c r="D6" s="42">
        <v>11</v>
      </c>
      <c r="E6" s="68">
        <f t="shared" si="0"/>
        <v>0</v>
      </c>
    </row>
    <row r="7" spans="1:5" ht="110.25" customHeight="1" x14ac:dyDescent="0.25">
      <c r="A7" s="46"/>
      <c r="B7" s="61" t="s">
        <v>61</v>
      </c>
      <c r="C7" s="70">
        <v>1290</v>
      </c>
      <c r="D7" s="42">
        <v>1</v>
      </c>
      <c r="E7" s="68">
        <f t="shared" si="0"/>
        <v>1290</v>
      </c>
    </row>
    <row r="8" spans="1:5" ht="135" customHeight="1" x14ac:dyDescent="0.25">
      <c r="A8" s="46"/>
      <c r="B8" s="61" t="s">
        <v>58</v>
      </c>
      <c r="C8" s="71">
        <v>180</v>
      </c>
      <c r="D8" s="42">
        <v>1</v>
      </c>
      <c r="E8" s="68">
        <f t="shared" si="0"/>
        <v>180</v>
      </c>
    </row>
    <row r="9" spans="1:5" ht="94.5" customHeight="1" x14ac:dyDescent="0.25">
      <c r="A9" s="46"/>
      <c r="B9" s="61" t="s">
        <v>59</v>
      </c>
      <c r="C9" s="71">
        <v>41.9</v>
      </c>
      <c r="D9" s="42">
        <v>3</v>
      </c>
      <c r="E9" s="68">
        <f t="shared" si="0"/>
        <v>125.69999999999999</v>
      </c>
    </row>
    <row r="10" spans="1:5" ht="90" customHeight="1" x14ac:dyDescent="0.25">
      <c r="A10" s="46"/>
      <c r="B10" s="61" t="s">
        <v>60</v>
      </c>
      <c r="C10" s="42"/>
      <c r="D10" s="42">
        <v>3</v>
      </c>
      <c r="E10" s="68">
        <f t="shared" si="0"/>
        <v>0</v>
      </c>
    </row>
    <row r="11" spans="1:5" ht="87" customHeight="1" x14ac:dyDescent="0.25">
      <c r="A11" s="46"/>
      <c r="B11" s="61" t="s">
        <v>70</v>
      </c>
      <c r="C11" s="42"/>
      <c r="D11" s="42">
        <v>6</v>
      </c>
      <c r="E11" s="68">
        <f t="shared" si="0"/>
        <v>0</v>
      </c>
    </row>
    <row r="12" spans="1:5" ht="137.25" customHeight="1" x14ac:dyDescent="0.25">
      <c r="A12" s="46"/>
      <c r="B12" s="61" t="s">
        <v>75</v>
      </c>
      <c r="C12" s="70">
        <v>15413.9</v>
      </c>
      <c r="D12" s="42">
        <v>1</v>
      </c>
      <c r="E12" s="68">
        <f t="shared" si="0"/>
        <v>15413.9</v>
      </c>
    </row>
    <row r="13" spans="1:5" ht="99.75" customHeight="1" x14ac:dyDescent="0.25">
      <c r="A13" s="46"/>
      <c r="B13" s="61" t="s">
        <v>76</v>
      </c>
      <c r="C13" s="42">
        <v>12.9</v>
      </c>
      <c r="D13" s="42">
        <v>16</v>
      </c>
      <c r="E13" s="68">
        <f t="shared" si="0"/>
        <v>206.4</v>
      </c>
    </row>
    <row r="14" spans="1:5" ht="64.5" customHeight="1" x14ac:dyDescent="0.25">
      <c r="A14" s="46"/>
      <c r="B14" s="61" t="s">
        <v>74</v>
      </c>
      <c r="C14" s="42"/>
      <c r="D14" s="42">
        <v>1</v>
      </c>
      <c r="E14" s="68">
        <f t="shared" si="0"/>
        <v>0</v>
      </c>
    </row>
    <row r="15" spans="1:5" ht="96" customHeight="1" x14ac:dyDescent="0.25">
      <c r="A15" s="46"/>
      <c r="B15" s="61" t="s">
        <v>93</v>
      </c>
      <c r="C15" s="42">
        <v>34.9</v>
      </c>
      <c r="D15" s="42">
        <v>22</v>
      </c>
      <c r="E15" s="68">
        <f t="shared" si="0"/>
        <v>767.8</v>
      </c>
    </row>
    <row r="16" spans="1:5" ht="126" customHeight="1" x14ac:dyDescent="0.25">
      <c r="A16" s="46"/>
      <c r="B16" s="61" t="s">
        <v>100</v>
      </c>
      <c r="C16" s="42">
        <v>69.900000000000006</v>
      </c>
      <c r="D16" s="42">
        <v>3</v>
      </c>
      <c r="E16" s="68">
        <f t="shared" si="0"/>
        <v>209.70000000000002</v>
      </c>
    </row>
    <row r="17" spans="1:5" ht="122.25" customHeight="1" x14ac:dyDescent="0.25">
      <c r="A17" s="46"/>
      <c r="B17" s="61" t="s">
        <v>111</v>
      </c>
      <c r="C17" s="42">
        <v>349</v>
      </c>
      <c r="D17" s="42">
        <v>5</v>
      </c>
      <c r="E17" s="68">
        <f t="shared" si="0"/>
        <v>1745</v>
      </c>
    </row>
    <row r="18" spans="1:5" ht="179.25" customHeight="1" x14ac:dyDescent="0.25">
      <c r="A18" s="72"/>
      <c r="B18" s="73" t="s">
        <v>119</v>
      </c>
      <c r="C18" s="74">
        <v>1549</v>
      </c>
      <c r="D18" s="75">
        <v>1</v>
      </c>
      <c r="E18" s="76">
        <f t="shared" si="0"/>
        <v>1549</v>
      </c>
    </row>
    <row r="19" spans="1:5" ht="130.5" customHeight="1" x14ac:dyDescent="0.25">
      <c r="A19" s="72"/>
      <c r="B19" s="77" t="s">
        <v>144</v>
      </c>
      <c r="C19" s="75">
        <v>1.99</v>
      </c>
      <c r="D19" s="75">
        <v>21</v>
      </c>
      <c r="E19" s="76">
        <f t="shared" ref="E19:E25" si="1">C19*D19</f>
        <v>41.79</v>
      </c>
    </row>
    <row r="20" spans="1:5" ht="102.75" customHeight="1" x14ac:dyDescent="0.25">
      <c r="A20" s="72"/>
      <c r="B20" s="77" t="s">
        <v>145</v>
      </c>
      <c r="C20" s="75">
        <v>16.260000000000002</v>
      </c>
      <c r="D20" s="75">
        <v>4</v>
      </c>
      <c r="E20" s="76">
        <f t="shared" si="1"/>
        <v>65.040000000000006</v>
      </c>
    </row>
    <row r="21" spans="1:5" ht="120" customHeight="1" x14ac:dyDescent="0.25">
      <c r="A21" s="72"/>
      <c r="B21" s="77" t="s">
        <v>146</v>
      </c>
      <c r="C21" s="75">
        <v>9.07</v>
      </c>
      <c r="D21" s="75">
        <v>20</v>
      </c>
      <c r="E21" s="76">
        <f t="shared" si="1"/>
        <v>181.4</v>
      </c>
    </row>
    <row r="22" spans="1:5" ht="119.25" customHeight="1" x14ac:dyDescent="0.25">
      <c r="A22" s="72"/>
      <c r="B22" s="77" t="s">
        <v>147</v>
      </c>
      <c r="C22" s="75">
        <v>16.22</v>
      </c>
      <c r="D22" s="75">
        <v>5</v>
      </c>
      <c r="E22" s="76">
        <f t="shared" si="1"/>
        <v>81.099999999999994</v>
      </c>
    </row>
    <row r="23" spans="1:5" ht="112.5" customHeight="1" x14ac:dyDescent="0.25">
      <c r="A23" s="72"/>
      <c r="B23" s="73" t="s">
        <v>148</v>
      </c>
      <c r="C23" s="75">
        <v>2.99</v>
      </c>
      <c r="D23" s="75">
        <v>40</v>
      </c>
      <c r="E23" s="76">
        <f t="shared" si="1"/>
        <v>119.60000000000001</v>
      </c>
    </row>
    <row r="24" spans="1:5" ht="157.5" customHeight="1" x14ac:dyDescent="0.25">
      <c r="A24" s="72"/>
      <c r="B24" s="77" t="s">
        <v>149</v>
      </c>
      <c r="C24" s="75">
        <v>16.079999999999998</v>
      </c>
      <c r="D24" s="75">
        <v>5</v>
      </c>
      <c r="E24" s="76">
        <f t="shared" si="1"/>
        <v>80.399999999999991</v>
      </c>
    </row>
    <row r="25" spans="1:5" ht="142.5" customHeight="1" x14ac:dyDescent="0.25">
      <c r="A25" s="72"/>
      <c r="B25" s="77" t="s">
        <v>150</v>
      </c>
      <c r="C25" s="75">
        <v>15.66</v>
      </c>
      <c r="D25" s="75">
        <v>2</v>
      </c>
      <c r="E25" s="76">
        <f t="shared" si="1"/>
        <v>31.32</v>
      </c>
    </row>
    <row r="26" spans="1:5" ht="150.75" customHeight="1" x14ac:dyDescent="0.25">
      <c r="A26" s="72"/>
      <c r="B26" s="77" t="s">
        <v>265</v>
      </c>
      <c r="C26" s="75">
        <v>15</v>
      </c>
      <c r="D26" s="75">
        <v>1</v>
      </c>
      <c r="E26" s="76">
        <f t="shared" ref="E26:E35" si="2">C26*D26</f>
        <v>15</v>
      </c>
    </row>
    <row r="27" spans="1:5" ht="132.75" customHeight="1" x14ac:dyDescent="0.25">
      <c r="A27" s="72"/>
      <c r="B27" s="77" t="s">
        <v>266</v>
      </c>
      <c r="C27" s="75">
        <v>14.34</v>
      </c>
      <c r="D27" s="75">
        <v>1</v>
      </c>
      <c r="E27" s="76">
        <f t="shared" si="2"/>
        <v>14.34</v>
      </c>
    </row>
    <row r="28" spans="1:5" ht="140.25" customHeight="1" x14ac:dyDescent="0.25">
      <c r="A28" s="72"/>
      <c r="B28" s="77" t="s">
        <v>267</v>
      </c>
      <c r="C28" s="75">
        <v>14.53</v>
      </c>
      <c r="D28" s="75">
        <v>4</v>
      </c>
      <c r="E28" s="76">
        <f t="shared" si="2"/>
        <v>58.12</v>
      </c>
    </row>
    <row r="29" spans="1:5" ht="104.25" customHeight="1" x14ac:dyDescent="0.25">
      <c r="A29" s="72"/>
      <c r="B29" s="77" t="s">
        <v>268</v>
      </c>
      <c r="C29" s="75">
        <v>1.29</v>
      </c>
      <c r="D29" s="75">
        <v>79</v>
      </c>
      <c r="E29" s="76">
        <f t="shared" si="2"/>
        <v>101.91</v>
      </c>
    </row>
    <row r="30" spans="1:5" ht="123" customHeight="1" x14ac:dyDescent="0.25">
      <c r="A30" s="72"/>
      <c r="B30" s="77" t="s">
        <v>269</v>
      </c>
      <c r="C30" s="75">
        <v>2.59</v>
      </c>
      <c r="D30" s="75">
        <v>50</v>
      </c>
      <c r="E30" s="76">
        <f t="shared" si="2"/>
        <v>129.5</v>
      </c>
    </row>
    <row r="31" spans="1:5" ht="145.5" customHeight="1" x14ac:dyDescent="0.25">
      <c r="A31" s="72"/>
      <c r="B31" s="258" t="s">
        <v>270</v>
      </c>
      <c r="C31" s="75">
        <v>33.9</v>
      </c>
      <c r="D31" s="75">
        <v>6</v>
      </c>
      <c r="E31" s="76">
        <f t="shared" si="2"/>
        <v>203.39999999999998</v>
      </c>
    </row>
    <row r="32" spans="1:5" ht="127.5" customHeight="1" x14ac:dyDescent="0.25">
      <c r="A32" s="72"/>
      <c r="B32" s="77" t="s">
        <v>271</v>
      </c>
      <c r="C32" s="75">
        <v>40</v>
      </c>
      <c r="D32" s="75">
        <f>'Quantidade de Cabos'!L3</f>
        <v>23.1</v>
      </c>
      <c r="E32" s="76">
        <f t="shared" si="2"/>
        <v>924</v>
      </c>
    </row>
    <row r="33" spans="1:5" ht="129.75" customHeight="1" x14ac:dyDescent="0.25">
      <c r="A33" s="72"/>
      <c r="B33" s="77" t="s">
        <v>272</v>
      </c>
      <c r="C33" s="75">
        <v>60</v>
      </c>
      <c r="D33" s="75">
        <f>'Quantidade de Cabos'!L4</f>
        <v>13.38</v>
      </c>
      <c r="E33" s="76">
        <f t="shared" si="2"/>
        <v>802.80000000000007</v>
      </c>
    </row>
    <row r="34" spans="1:5" ht="149.25" customHeight="1" x14ac:dyDescent="0.25">
      <c r="A34" s="72"/>
      <c r="B34" s="77" t="s">
        <v>273</v>
      </c>
      <c r="C34" s="75">
        <v>160</v>
      </c>
      <c r="D34" s="75">
        <f>'Quantidade de Cabos'!L5</f>
        <v>1.68</v>
      </c>
      <c r="E34" s="76">
        <f t="shared" si="2"/>
        <v>268.8</v>
      </c>
    </row>
    <row r="35" spans="1:5" ht="127.5" customHeight="1" x14ac:dyDescent="0.25">
      <c r="A35" s="72"/>
      <c r="B35" s="77" t="s">
        <v>274</v>
      </c>
      <c r="C35" s="75">
        <v>430</v>
      </c>
      <c r="D35" s="75">
        <f>'Quantidade de Cabos'!L6</f>
        <v>0.99900000000000011</v>
      </c>
      <c r="E35" s="76">
        <f t="shared" si="2"/>
        <v>429.57000000000005</v>
      </c>
    </row>
    <row r="36" spans="1:5" ht="105" customHeight="1" x14ac:dyDescent="0.25">
      <c r="A36" s="72"/>
      <c r="B36" s="77" t="s">
        <v>282</v>
      </c>
      <c r="C36" s="75">
        <v>118</v>
      </c>
      <c r="D36" s="75">
        <v>9</v>
      </c>
      <c r="E36" s="76">
        <f>C36*D36</f>
        <v>1062</v>
      </c>
    </row>
    <row r="37" spans="1:5" ht="120.75" customHeight="1" x14ac:dyDescent="0.25">
      <c r="A37" s="72"/>
      <c r="B37" s="261" t="s">
        <v>283</v>
      </c>
      <c r="C37" s="75">
        <v>100</v>
      </c>
      <c r="D37" s="75">
        <v>1</v>
      </c>
      <c r="E37" s="76">
        <f>C37*D37</f>
        <v>100</v>
      </c>
    </row>
  </sheetData>
  <hyperlinks>
    <hyperlink ref="B37" r:id="rId1" display="https://www.google.com/aclk?sa=l&amp;ai=DChcSEwihq92NsJfjAhVEBZEKHWx_CrMYABANGgJjZQ&amp;sig=AOD64_2BwZ8js-qo4fYKQ_qhqYOw31SUSg&amp;ctype=5&amp;q=&amp;ved=0ahUKEwi0-diNsJfjAhUVILkGHcQ1DY8QpysIRA&amp;adurl=" xr:uid="{23D9142D-4A3B-4A28-B46F-B25D8A9BB4BC}"/>
  </hyperlinks>
  <pageMargins left="0.511811024" right="0.511811024" top="0.78740157499999996" bottom="0.78740157499999996" header="0.31496062000000002" footer="0.31496062000000002"/>
  <pageSetup paperSize="9" orientation="portrait" verticalDpi="0" r:id="rId2"/>
  <drawing r:id="rId3"/>
  <tableParts count="1">
    <tablePart r:id="rId4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AC1CC-486C-457F-B6D9-CA8F4BA7F317}">
  <dimension ref="A1:E37"/>
  <sheetViews>
    <sheetView topLeftCell="A17" workbookViewId="0">
      <selection sqref="A1:D37"/>
    </sheetView>
  </sheetViews>
  <sheetFormatPr defaultRowHeight="15" x14ac:dyDescent="0.25"/>
  <cols>
    <col min="1" max="1" width="72" customWidth="1"/>
    <col min="2" max="2" width="14.42578125" customWidth="1"/>
    <col min="3" max="3" width="11.7109375" customWidth="1"/>
    <col min="4" max="4" width="12.140625" customWidth="1"/>
    <col min="5" max="5" width="9.140625" style="6"/>
  </cols>
  <sheetData>
    <row r="1" spans="1:5" x14ac:dyDescent="0.25">
      <c r="A1" t="s">
        <v>51</v>
      </c>
      <c r="B1" t="s">
        <v>52</v>
      </c>
      <c r="C1" t="s">
        <v>53</v>
      </c>
      <c r="D1" t="s">
        <v>54</v>
      </c>
    </row>
    <row r="2" spans="1:5" x14ac:dyDescent="0.25">
      <c r="A2" s="69" t="s">
        <v>22</v>
      </c>
      <c r="B2" s="377">
        <v>728.58</v>
      </c>
      <c r="C2" s="377">
        <v>4</v>
      </c>
      <c r="D2" s="385">
        <f>B2*C2</f>
        <v>2914.32</v>
      </c>
      <c r="E2" s="147"/>
    </row>
    <row r="3" spans="1:5" x14ac:dyDescent="0.25">
      <c r="A3" s="69" t="s">
        <v>55</v>
      </c>
      <c r="B3" s="377">
        <v>14.99</v>
      </c>
      <c r="C3" s="377">
        <v>24</v>
      </c>
      <c r="D3" s="385">
        <f>B3*C3</f>
        <v>359.76</v>
      </c>
      <c r="E3" s="147"/>
    </row>
    <row r="4" spans="1:5" x14ac:dyDescent="0.25">
      <c r="A4" s="69" t="s">
        <v>49</v>
      </c>
      <c r="B4" s="377">
        <v>109.9</v>
      </c>
      <c r="C4" s="377">
        <v>8</v>
      </c>
      <c r="D4" s="385">
        <f t="shared" ref="D4:D35" si="0">B4*C4</f>
        <v>879.2</v>
      </c>
      <c r="E4" s="147"/>
    </row>
    <row r="5" spans="1:5" x14ac:dyDescent="0.25">
      <c r="A5" s="69" t="s">
        <v>56</v>
      </c>
      <c r="B5" s="377">
        <v>13.62</v>
      </c>
      <c r="C5" s="377">
        <v>8</v>
      </c>
      <c r="D5" s="385">
        <f t="shared" si="0"/>
        <v>108.96</v>
      </c>
      <c r="E5" s="147"/>
    </row>
    <row r="6" spans="1:5" x14ac:dyDescent="0.25">
      <c r="A6" s="69" t="s">
        <v>57</v>
      </c>
      <c r="B6" s="377"/>
      <c r="C6" s="377">
        <v>11</v>
      </c>
      <c r="D6" s="385">
        <f t="shared" si="0"/>
        <v>0</v>
      </c>
      <c r="E6" s="147"/>
    </row>
    <row r="7" spans="1:5" x14ac:dyDescent="0.25">
      <c r="A7" s="69" t="s">
        <v>61</v>
      </c>
      <c r="B7" s="378">
        <v>1290</v>
      </c>
      <c r="C7" s="377">
        <v>1</v>
      </c>
      <c r="D7" s="385">
        <f t="shared" si="0"/>
        <v>1290</v>
      </c>
      <c r="E7" s="147"/>
    </row>
    <row r="8" spans="1:5" x14ac:dyDescent="0.25">
      <c r="A8" s="69" t="s">
        <v>58</v>
      </c>
      <c r="B8" s="379">
        <v>180</v>
      </c>
      <c r="C8" s="377">
        <v>1</v>
      </c>
      <c r="D8" s="385">
        <f t="shared" si="0"/>
        <v>180</v>
      </c>
      <c r="E8" s="147"/>
    </row>
    <row r="9" spans="1:5" ht="30" x14ac:dyDescent="0.25">
      <c r="A9" s="69" t="s">
        <v>59</v>
      </c>
      <c r="B9" s="379">
        <v>41.9</v>
      </c>
      <c r="C9" s="377">
        <v>3</v>
      </c>
      <c r="D9" s="385">
        <f t="shared" si="0"/>
        <v>125.69999999999999</v>
      </c>
      <c r="E9" s="147"/>
    </row>
    <row r="10" spans="1:5" x14ac:dyDescent="0.25">
      <c r="A10" s="69" t="s">
        <v>60</v>
      </c>
      <c r="B10" s="377"/>
      <c r="C10" s="377">
        <v>3</v>
      </c>
      <c r="D10" s="385">
        <f t="shared" si="0"/>
        <v>0</v>
      </c>
      <c r="E10" s="147"/>
    </row>
    <row r="11" spans="1:5" x14ac:dyDescent="0.25">
      <c r="A11" s="69" t="s">
        <v>70</v>
      </c>
      <c r="B11" s="377"/>
      <c r="C11" s="377">
        <v>6</v>
      </c>
      <c r="D11" s="385">
        <f t="shared" si="0"/>
        <v>0</v>
      </c>
      <c r="E11" s="147"/>
    </row>
    <row r="12" spans="1:5" ht="30" x14ac:dyDescent="0.25">
      <c r="A12" s="69" t="s">
        <v>75</v>
      </c>
      <c r="B12" s="378">
        <v>15413.9</v>
      </c>
      <c r="C12" s="377">
        <v>1</v>
      </c>
      <c r="D12" s="385">
        <f t="shared" si="0"/>
        <v>15413.9</v>
      </c>
      <c r="E12" s="147"/>
    </row>
    <row r="13" spans="1:5" x14ac:dyDescent="0.25">
      <c r="A13" s="69" t="s">
        <v>76</v>
      </c>
      <c r="B13" s="377">
        <v>12.9</v>
      </c>
      <c r="C13" s="377">
        <v>16</v>
      </c>
      <c r="D13" s="385">
        <f t="shared" si="0"/>
        <v>206.4</v>
      </c>
      <c r="E13" s="147"/>
    </row>
    <row r="14" spans="1:5" x14ac:dyDescent="0.25">
      <c r="A14" s="69" t="s">
        <v>74</v>
      </c>
      <c r="B14" s="377"/>
      <c r="C14" s="377">
        <v>1</v>
      </c>
      <c r="D14" s="385">
        <f t="shared" si="0"/>
        <v>0</v>
      </c>
      <c r="E14" s="147"/>
    </row>
    <row r="15" spans="1:5" x14ac:dyDescent="0.25">
      <c r="A15" s="69" t="s">
        <v>93</v>
      </c>
      <c r="B15" s="377">
        <v>34.9</v>
      </c>
      <c r="C15" s="377">
        <v>22</v>
      </c>
      <c r="D15" s="385">
        <f t="shared" si="0"/>
        <v>767.8</v>
      </c>
      <c r="E15" s="147"/>
    </row>
    <row r="16" spans="1:5" x14ac:dyDescent="0.25">
      <c r="A16" s="69" t="s">
        <v>100</v>
      </c>
      <c r="B16" s="377">
        <v>69.900000000000006</v>
      </c>
      <c r="C16" s="377">
        <v>3</v>
      </c>
      <c r="D16" s="385">
        <f t="shared" si="0"/>
        <v>209.70000000000002</v>
      </c>
      <c r="E16" s="147"/>
    </row>
    <row r="17" spans="1:5" x14ac:dyDescent="0.25">
      <c r="A17" s="69" t="s">
        <v>111</v>
      </c>
      <c r="B17" s="377">
        <v>349</v>
      </c>
      <c r="C17" s="377">
        <v>5</v>
      </c>
      <c r="D17" s="385">
        <f t="shared" si="0"/>
        <v>1745</v>
      </c>
      <c r="E17" s="147"/>
    </row>
    <row r="18" spans="1:5" x14ac:dyDescent="0.25">
      <c r="A18" s="380" t="s">
        <v>119</v>
      </c>
      <c r="B18" s="381">
        <v>1549</v>
      </c>
      <c r="C18" s="382">
        <v>1</v>
      </c>
      <c r="D18" s="386">
        <f t="shared" si="0"/>
        <v>1549</v>
      </c>
      <c r="E18" s="147"/>
    </row>
    <row r="19" spans="1:5" x14ac:dyDescent="0.25">
      <c r="A19" s="380" t="s">
        <v>144</v>
      </c>
      <c r="B19" s="382">
        <v>1.99</v>
      </c>
      <c r="C19" s="382">
        <v>21</v>
      </c>
      <c r="D19" s="386">
        <f t="shared" si="0"/>
        <v>41.79</v>
      </c>
      <c r="E19" s="147"/>
    </row>
    <row r="20" spans="1:5" x14ac:dyDescent="0.25">
      <c r="A20" s="380" t="s">
        <v>145</v>
      </c>
      <c r="B20" s="382">
        <v>16.260000000000002</v>
      </c>
      <c r="C20" s="382">
        <v>4</v>
      </c>
      <c r="D20" s="386">
        <f t="shared" si="0"/>
        <v>65.040000000000006</v>
      </c>
      <c r="E20" s="147"/>
    </row>
    <row r="21" spans="1:5" x14ac:dyDescent="0.25">
      <c r="A21" s="380" t="s">
        <v>146</v>
      </c>
      <c r="B21" s="382">
        <v>9.07</v>
      </c>
      <c r="C21" s="382">
        <v>20</v>
      </c>
      <c r="D21" s="386">
        <f t="shared" si="0"/>
        <v>181.4</v>
      </c>
      <c r="E21" s="147"/>
    </row>
    <row r="22" spans="1:5" x14ac:dyDescent="0.25">
      <c r="A22" s="380" t="s">
        <v>147</v>
      </c>
      <c r="B22" s="382">
        <v>16.22</v>
      </c>
      <c r="C22" s="382">
        <v>5</v>
      </c>
      <c r="D22" s="386">
        <f t="shared" si="0"/>
        <v>81.099999999999994</v>
      </c>
      <c r="E22" s="147"/>
    </row>
    <row r="23" spans="1:5" x14ac:dyDescent="0.25">
      <c r="A23" s="380" t="s">
        <v>148</v>
      </c>
      <c r="B23" s="382">
        <v>2.99</v>
      </c>
      <c r="C23" s="382">
        <v>40</v>
      </c>
      <c r="D23" s="386">
        <f t="shared" si="0"/>
        <v>119.60000000000001</v>
      </c>
      <c r="E23" s="147"/>
    </row>
    <row r="24" spans="1:5" x14ac:dyDescent="0.25">
      <c r="A24" s="380" t="s">
        <v>149</v>
      </c>
      <c r="B24" s="382">
        <v>16.079999999999998</v>
      </c>
      <c r="C24" s="382">
        <v>5</v>
      </c>
      <c r="D24" s="386">
        <f t="shared" si="0"/>
        <v>80.399999999999991</v>
      </c>
      <c r="E24" s="147"/>
    </row>
    <row r="25" spans="1:5" x14ac:dyDescent="0.25">
      <c r="A25" s="380" t="s">
        <v>150</v>
      </c>
      <c r="B25" s="382">
        <v>15.66</v>
      </c>
      <c r="C25" s="382">
        <v>2</v>
      </c>
      <c r="D25" s="386">
        <f t="shared" si="0"/>
        <v>31.32</v>
      </c>
      <c r="E25" s="147"/>
    </row>
    <row r="26" spans="1:5" x14ac:dyDescent="0.25">
      <c r="A26" s="380" t="s">
        <v>265</v>
      </c>
      <c r="B26" s="382">
        <v>15</v>
      </c>
      <c r="C26" s="382">
        <v>1</v>
      </c>
      <c r="D26" s="386">
        <f t="shared" si="0"/>
        <v>15</v>
      </c>
      <c r="E26" s="147"/>
    </row>
    <row r="27" spans="1:5" x14ac:dyDescent="0.25">
      <c r="A27" s="380" t="s">
        <v>266</v>
      </c>
      <c r="B27" s="382">
        <v>14.34</v>
      </c>
      <c r="C27" s="382">
        <v>1</v>
      </c>
      <c r="D27" s="386">
        <f t="shared" si="0"/>
        <v>14.34</v>
      </c>
      <c r="E27" s="147"/>
    </row>
    <row r="28" spans="1:5" ht="30" x14ac:dyDescent="0.25">
      <c r="A28" s="380" t="s">
        <v>267</v>
      </c>
      <c r="B28" s="382">
        <v>14.53</v>
      </c>
      <c r="C28" s="382">
        <v>4</v>
      </c>
      <c r="D28" s="386">
        <f t="shared" si="0"/>
        <v>58.12</v>
      </c>
      <c r="E28" s="147"/>
    </row>
    <row r="29" spans="1:5" x14ac:dyDescent="0.25">
      <c r="A29" s="380" t="s">
        <v>268</v>
      </c>
      <c r="B29" s="382">
        <v>1.29</v>
      </c>
      <c r="C29" s="382">
        <v>79</v>
      </c>
      <c r="D29" s="386">
        <f t="shared" si="0"/>
        <v>101.91</v>
      </c>
      <c r="E29" s="147"/>
    </row>
    <row r="30" spans="1:5" x14ac:dyDescent="0.25">
      <c r="A30" s="380" t="s">
        <v>269</v>
      </c>
      <c r="B30" s="382">
        <v>2.59</v>
      </c>
      <c r="C30" s="382">
        <v>50</v>
      </c>
      <c r="D30" s="386">
        <f t="shared" si="0"/>
        <v>129.5</v>
      </c>
      <c r="E30" s="147"/>
    </row>
    <row r="31" spans="1:5" x14ac:dyDescent="0.25">
      <c r="A31" s="383" t="s">
        <v>270</v>
      </c>
      <c r="B31" s="382">
        <v>33.9</v>
      </c>
      <c r="C31" s="382">
        <v>6</v>
      </c>
      <c r="D31" s="386">
        <f t="shared" si="0"/>
        <v>203.39999999999998</v>
      </c>
      <c r="E31" s="147"/>
    </row>
    <row r="32" spans="1:5" ht="30" x14ac:dyDescent="0.25">
      <c r="A32" s="380" t="s">
        <v>271</v>
      </c>
      <c r="B32" s="382">
        <v>40</v>
      </c>
      <c r="C32" s="382">
        <f>'Quantidade de Cabos'!L3</f>
        <v>23.1</v>
      </c>
      <c r="D32" s="386">
        <f t="shared" si="0"/>
        <v>924</v>
      </c>
      <c r="E32" s="147"/>
    </row>
    <row r="33" spans="1:5" x14ac:dyDescent="0.25">
      <c r="A33" s="380" t="s">
        <v>272</v>
      </c>
      <c r="B33" s="382">
        <v>60</v>
      </c>
      <c r="C33" s="382">
        <f>'Quantidade de Cabos'!L4</f>
        <v>13.38</v>
      </c>
      <c r="D33" s="386">
        <f t="shared" si="0"/>
        <v>802.80000000000007</v>
      </c>
      <c r="E33" s="147"/>
    </row>
    <row r="34" spans="1:5" x14ac:dyDescent="0.25">
      <c r="A34" s="380" t="s">
        <v>273</v>
      </c>
      <c r="B34" s="382">
        <v>160</v>
      </c>
      <c r="C34" s="382">
        <f>'Quantidade de Cabos'!L5</f>
        <v>1.68</v>
      </c>
      <c r="D34" s="386">
        <f t="shared" si="0"/>
        <v>268.8</v>
      </c>
      <c r="E34" s="147"/>
    </row>
    <row r="35" spans="1:5" x14ac:dyDescent="0.25">
      <c r="A35" s="380" t="s">
        <v>274</v>
      </c>
      <c r="B35" s="382">
        <v>430</v>
      </c>
      <c r="C35" s="382">
        <f>'Quantidade de Cabos'!L6</f>
        <v>0.99900000000000011</v>
      </c>
      <c r="D35" s="386">
        <f t="shared" si="0"/>
        <v>429.57000000000005</v>
      </c>
      <c r="E35" s="147"/>
    </row>
    <row r="36" spans="1:5" x14ac:dyDescent="0.25">
      <c r="A36" s="380" t="s">
        <v>282</v>
      </c>
      <c r="B36" s="382">
        <v>118</v>
      </c>
      <c r="C36" s="382">
        <v>9</v>
      </c>
      <c r="D36" s="386">
        <f>B36*C36</f>
        <v>1062</v>
      </c>
      <c r="E36" s="147"/>
    </row>
    <row r="37" spans="1:5" x14ac:dyDescent="0.25">
      <c r="A37" s="384" t="s">
        <v>283</v>
      </c>
      <c r="B37" s="377">
        <v>100</v>
      </c>
      <c r="C37" s="377">
        <v>1</v>
      </c>
      <c r="D37" s="385">
        <f>B37*C37</f>
        <v>100</v>
      </c>
      <c r="E37" s="147"/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B59B7C-C0FF-4F68-ABAB-0450F2F89078}">
  <dimension ref="A1:D37"/>
  <sheetViews>
    <sheetView tabSelected="1" workbookViewId="0">
      <selection activeCell="A39" sqref="A39"/>
    </sheetView>
  </sheetViews>
  <sheetFormatPr defaultRowHeight="15" x14ac:dyDescent="0.25"/>
  <cols>
    <col min="1" max="1" width="67.7109375" customWidth="1"/>
  </cols>
  <sheetData>
    <row r="1" spans="1:4" x14ac:dyDescent="0.25">
      <c r="A1" s="387" t="s">
        <v>51</v>
      </c>
      <c r="B1" s="387" t="s">
        <v>52</v>
      </c>
      <c r="C1" s="387" t="s">
        <v>53</v>
      </c>
      <c r="D1" s="387" t="s">
        <v>54</v>
      </c>
    </row>
    <row r="2" spans="1:4" x14ac:dyDescent="0.25">
      <c r="A2" s="388" t="s">
        <v>22</v>
      </c>
      <c r="B2" s="389">
        <v>728.58</v>
      </c>
      <c r="C2" s="389">
        <v>4</v>
      </c>
      <c r="D2" s="390">
        <f>B2*C2</f>
        <v>2914.32</v>
      </c>
    </row>
    <row r="3" spans="1:4" x14ac:dyDescent="0.25">
      <c r="A3" s="388" t="s">
        <v>55</v>
      </c>
      <c r="B3" s="389">
        <v>14.99</v>
      </c>
      <c r="C3" s="389">
        <v>24</v>
      </c>
      <c r="D3" s="390">
        <f>B3*C3</f>
        <v>359.76</v>
      </c>
    </row>
    <row r="4" spans="1:4" x14ac:dyDescent="0.25">
      <c r="A4" s="388" t="s">
        <v>49</v>
      </c>
      <c r="B4" s="389">
        <v>109.9</v>
      </c>
      <c r="C4" s="389">
        <v>8</v>
      </c>
      <c r="D4" s="390">
        <f t="shared" ref="D4:D35" si="0">B4*C4</f>
        <v>879.2</v>
      </c>
    </row>
    <row r="5" spans="1:4" x14ac:dyDescent="0.25">
      <c r="A5" s="388" t="s">
        <v>56</v>
      </c>
      <c r="B5" s="389">
        <v>13.62</v>
      </c>
      <c r="C5" s="389">
        <v>8</v>
      </c>
      <c r="D5" s="390">
        <f t="shared" si="0"/>
        <v>108.96</v>
      </c>
    </row>
    <row r="6" spans="1:4" x14ac:dyDescent="0.25">
      <c r="A6" s="388" t="s">
        <v>57</v>
      </c>
      <c r="B6" s="389"/>
      <c r="C6" s="389">
        <v>11</v>
      </c>
      <c r="D6" s="390">
        <f t="shared" si="0"/>
        <v>0</v>
      </c>
    </row>
    <row r="7" spans="1:4" x14ac:dyDescent="0.25">
      <c r="A7" s="388" t="s">
        <v>61</v>
      </c>
      <c r="B7" s="391">
        <v>1290</v>
      </c>
      <c r="C7" s="389">
        <v>1</v>
      </c>
      <c r="D7" s="390">
        <f t="shared" si="0"/>
        <v>1290</v>
      </c>
    </row>
    <row r="8" spans="1:4" x14ac:dyDescent="0.25">
      <c r="A8" s="388" t="s">
        <v>58</v>
      </c>
      <c r="B8" s="392">
        <v>180</v>
      </c>
      <c r="C8" s="389">
        <v>1</v>
      </c>
      <c r="D8" s="390">
        <f t="shared" si="0"/>
        <v>180</v>
      </c>
    </row>
    <row r="9" spans="1:4" x14ac:dyDescent="0.25">
      <c r="A9" s="388" t="s">
        <v>59</v>
      </c>
      <c r="B9" s="392">
        <v>41.9</v>
      </c>
      <c r="C9" s="389">
        <v>3</v>
      </c>
      <c r="D9" s="390">
        <f t="shared" si="0"/>
        <v>125.69999999999999</v>
      </c>
    </row>
    <row r="10" spans="1:4" x14ac:dyDescent="0.25">
      <c r="A10" s="388" t="s">
        <v>60</v>
      </c>
      <c r="B10" s="389"/>
      <c r="C10" s="389">
        <v>3</v>
      </c>
      <c r="D10" s="390">
        <f t="shared" si="0"/>
        <v>0</v>
      </c>
    </row>
    <row r="11" spans="1:4" x14ac:dyDescent="0.25">
      <c r="A11" s="388" t="s">
        <v>70</v>
      </c>
      <c r="B11" s="389"/>
      <c r="C11" s="389">
        <v>6</v>
      </c>
      <c r="D11" s="390">
        <f t="shared" si="0"/>
        <v>0</v>
      </c>
    </row>
    <row r="12" spans="1:4" x14ac:dyDescent="0.25">
      <c r="A12" s="388" t="s">
        <v>75</v>
      </c>
      <c r="B12" s="391">
        <v>15413.9</v>
      </c>
      <c r="C12" s="389">
        <v>1</v>
      </c>
      <c r="D12" s="390">
        <f t="shared" si="0"/>
        <v>15413.9</v>
      </c>
    </row>
    <row r="13" spans="1:4" x14ac:dyDescent="0.25">
      <c r="A13" s="388" t="s">
        <v>76</v>
      </c>
      <c r="B13" s="389">
        <v>12.9</v>
      </c>
      <c r="C13" s="389">
        <v>16</v>
      </c>
      <c r="D13" s="390">
        <f t="shared" si="0"/>
        <v>206.4</v>
      </c>
    </row>
    <row r="14" spans="1:4" x14ac:dyDescent="0.25">
      <c r="A14" s="388" t="s">
        <v>74</v>
      </c>
      <c r="B14" s="389"/>
      <c r="C14" s="389">
        <v>1</v>
      </c>
      <c r="D14" s="390">
        <f t="shared" si="0"/>
        <v>0</v>
      </c>
    </row>
    <row r="15" spans="1:4" x14ac:dyDescent="0.25">
      <c r="A15" s="388" t="s">
        <v>93</v>
      </c>
      <c r="B15" s="389">
        <v>34.9</v>
      </c>
      <c r="C15" s="389">
        <v>22</v>
      </c>
      <c r="D15" s="390">
        <f t="shared" si="0"/>
        <v>767.8</v>
      </c>
    </row>
    <row r="16" spans="1:4" x14ac:dyDescent="0.25">
      <c r="A16" s="388" t="s">
        <v>100</v>
      </c>
      <c r="B16" s="389">
        <v>69.900000000000006</v>
      </c>
      <c r="C16" s="389">
        <v>3</v>
      </c>
      <c r="D16" s="390">
        <f t="shared" si="0"/>
        <v>209.70000000000002</v>
      </c>
    </row>
    <row r="17" spans="1:4" x14ac:dyDescent="0.25">
      <c r="A17" s="388" t="s">
        <v>111</v>
      </c>
      <c r="B17" s="389">
        <v>349</v>
      </c>
      <c r="C17" s="389">
        <v>5</v>
      </c>
      <c r="D17" s="390">
        <f t="shared" si="0"/>
        <v>1745</v>
      </c>
    </row>
    <row r="18" spans="1:4" x14ac:dyDescent="0.25">
      <c r="A18" s="393" t="s">
        <v>119</v>
      </c>
      <c r="B18" s="394">
        <v>1549</v>
      </c>
      <c r="C18" s="395">
        <v>1</v>
      </c>
      <c r="D18" s="396">
        <f t="shared" si="0"/>
        <v>1549</v>
      </c>
    </row>
    <row r="19" spans="1:4" x14ac:dyDescent="0.25">
      <c r="A19" s="393" t="s">
        <v>144</v>
      </c>
      <c r="B19" s="395">
        <v>1.99</v>
      </c>
      <c r="C19" s="395">
        <v>21</v>
      </c>
      <c r="D19" s="396">
        <f t="shared" si="0"/>
        <v>41.79</v>
      </c>
    </row>
    <row r="20" spans="1:4" x14ac:dyDescent="0.25">
      <c r="A20" s="393" t="s">
        <v>145</v>
      </c>
      <c r="B20" s="395">
        <v>16.260000000000002</v>
      </c>
      <c r="C20" s="395">
        <v>4</v>
      </c>
      <c r="D20" s="396">
        <f t="shared" si="0"/>
        <v>65.040000000000006</v>
      </c>
    </row>
    <row r="21" spans="1:4" x14ac:dyDescent="0.25">
      <c r="A21" s="393" t="s">
        <v>146</v>
      </c>
      <c r="B21" s="395">
        <v>9.07</v>
      </c>
      <c r="C21" s="395">
        <v>20</v>
      </c>
      <c r="D21" s="396">
        <f t="shared" si="0"/>
        <v>181.4</v>
      </c>
    </row>
    <row r="22" spans="1:4" x14ac:dyDescent="0.25">
      <c r="A22" s="393" t="s">
        <v>147</v>
      </c>
      <c r="B22" s="395">
        <v>16.22</v>
      </c>
      <c r="C22" s="395">
        <v>5</v>
      </c>
      <c r="D22" s="396">
        <f t="shared" si="0"/>
        <v>81.099999999999994</v>
      </c>
    </row>
    <row r="23" spans="1:4" x14ac:dyDescent="0.25">
      <c r="A23" s="393" t="s">
        <v>148</v>
      </c>
      <c r="B23" s="395">
        <v>2.99</v>
      </c>
      <c r="C23" s="395">
        <v>40</v>
      </c>
      <c r="D23" s="396">
        <f t="shared" si="0"/>
        <v>119.60000000000001</v>
      </c>
    </row>
    <row r="24" spans="1:4" x14ac:dyDescent="0.25">
      <c r="A24" s="393" t="s">
        <v>149</v>
      </c>
      <c r="B24" s="395">
        <v>16.079999999999998</v>
      </c>
      <c r="C24" s="395">
        <v>5</v>
      </c>
      <c r="D24" s="396">
        <f t="shared" si="0"/>
        <v>80.399999999999991</v>
      </c>
    </row>
    <row r="25" spans="1:4" x14ac:dyDescent="0.25">
      <c r="A25" s="393" t="s">
        <v>150</v>
      </c>
      <c r="B25" s="395">
        <v>15.66</v>
      </c>
      <c r="C25" s="395">
        <v>2</v>
      </c>
      <c r="D25" s="396">
        <f t="shared" si="0"/>
        <v>31.32</v>
      </c>
    </row>
    <row r="26" spans="1:4" x14ac:dyDescent="0.25">
      <c r="A26" s="393" t="s">
        <v>265</v>
      </c>
      <c r="B26" s="395">
        <v>15</v>
      </c>
      <c r="C26" s="395">
        <v>1</v>
      </c>
      <c r="D26" s="396">
        <f t="shared" si="0"/>
        <v>15</v>
      </c>
    </row>
    <row r="27" spans="1:4" x14ac:dyDescent="0.25">
      <c r="A27" s="393" t="s">
        <v>266</v>
      </c>
      <c r="B27" s="395">
        <v>14.34</v>
      </c>
      <c r="C27" s="395">
        <v>1</v>
      </c>
      <c r="D27" s="396">
        <f t="shared" si="0"/>
        <v>14.34</v>
      </c>
    </row>
    <row r="28" spans="1:4" ht="22.5" x14ac:dyDescent="0.25">
      <c r="A28" s="393" t="s">
        <v>267</v>
      </c>
      <c r="B28" s="395">
        <v>14.53</v>
      </c>
      <c r="C28" s="395">
        <v>4</v>
      </c>
      <c r="D28" s="396">
        <f t="shared" si="0"/>
        <v>58.12</v>
      </c>
    </row>
    <row r="29" spans="1:4" x14ac:dyDescent="0.25">
      <c r="A29" s="393" t="s">
        <v>268</v>
      </c>
      <c r="B29" s="395">
        <v>1.29</v>
      </c>
      <c r="C29" s="395">
        <v>79</v>
      </c>
      <c r="D29" s="396">
        <f t="shared" si="0"/>
        <v>101.91</v>
      </c>
    </row>
    <row r="30" spans="1:4" x14ac:dyDescent="0.25">
      <c r="A30" s="393" t="s">
        <v>269</v>
      </c>
      <c r="B30" s="395">
        <v>2.59</v>
      </c>
      <c r="C30" s="395">
        <v>50</v>
      </c>
      <c r="D30" s="396">
        <f t="shared" si="0"/>
        <v>129.5</v>
      </c>
    </row>
    <row r="31" spans="1:4" x14ac:dyDescent="0.25">
      <c r="A31" s="397" t="s">
        <v>270</v>
      </c>
      <c r="B31" s="395">
        <v>33.9</v>
      </c>
      <c r="C31" s="395">
        <v>6</v>
      </c>
      <c r="D31" s="396">
        <f t="shared" si="0"/>
        <v>203.39999999999998</v>
      </c>
    </row>
    <row r="32" spans="1:4" x14ac:dyDescent="0.25">
      <c r="A32" s="393" t="s">
        <v>271</v>
      </c>
      <c r="B32" s="395">
        <v>40</v>
      </c>
      <c r="C32" s="395">
        <f>'Quantidade de Cabos'!L3</f>
        <v>23.1</v>
      </c>
      <c r="D32" s="396">
        <f t="shared" si="0"/>
        <v>924</v>
      </c>
    </row>
    <row r="33" spans="1:4" x14ac:dyDescent="0.25">
      <c r="A33" s="393" t="s">
        <v>272</v>
      </c>
      <c r="B33" s="395">
        <v>60</v>
      </c>
      <c r="C33" s="395">
        <f>'Quantidade de Cabos'!L4</f>
        <v>13.38</v>
      </c>
      <c r="D33" s="396">
        <f t="shared" si="0"/>
        <v>802.80000000000007</v>
      </c>
    </row>
    <row r="34" spans="1:4" x14ac:dyDescent="0.25">
      <c r="A34" s="393" t="s">
        <v>273</v>
      </c>
      <c r="B34" s="395">
        <v>160</v>
      </c>
      <c r="C34" s="395">
        <f>'Quantidade de Cabos'!L5</f>
        <v>1.68</v>
      </c>
      <c r="D34" s="396">
        <f t="shared" si="0"/>
        <v>268.8</v>
      </c>
    </row>
    <row r="35" spans="1:4" x14ac:dyDescent="0.25">
      <c r="A35" s="393" t="s">
        <v>274</v>
      </c>
      <c r="B35" s="395">
        <v>430</v>
      </c>
      <c r="C35" s="395">
        <f>'Quantidade de Cabos'!L6</f>
        <v>0.99900000000000011</v>
      </c>
      <c r="D35" s="396">
        <f t="shared" si="0"/>
        <v>429.57000000000005</v>
      </c>
    </row>
    <row r="36" spans="1:4" x14ac:dyDescent="0.25">
      <c r="A36" s="393" t="s">
        <v>282</v>
      </c>
      <c r="B36" s="395">
        <v>118</v>
      </c>
      <c r="C36" s="395">
        <v>9</v>
      </c>
      <c r="D36" s="396">
        <f>B36*C36</f>
        <v>1062</v>
      </c>
    </row>
    <row r="37" spans="1:4" x14ac:dyDescent="0.25">
      <c r="A37" s="398" t="s">
        <v>292</v>
      </c>
      <c r="B37" s="389">
        <v>100</v>
      </c>
      <c r="C37" s="389">
        <v>1</v>
      </c>
      <c r="D37" s="390">
        <f>B37*C37</f>
        <v>100</v>
      </c>
    </row>
  </sheetData>
  <pageMargins left="0.511811024" right="0.511811024" top="0.78740157499999996" bottom="0.78740157499999996" header="0.31496062000000002" footer="0.31496062000000002"/>
  <pageSetup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Lâmpadas</vt:lpstr>
      <vt:lpstr>Dimensionamento dos Cabos</vt:lpstr>
      <vt:lpstr>Curto Circuito</vt:lpstr>
      <vt:lpstr>Circuitos</vt:lpstr>
      <vt:lpstr>Cálculo de Demanda</vt:lpstr>
      <vt:lpstr>Comprimento Médio</vt:lpstr>
      <vt:lpstr>Materiais</vt:lpstr>
      <vt:lpstr>Lista de Materiais</vt:lpstr>
      <vt:lpstr>Lista</vt:lpstr>
      <vt:lpstr>Quantidade de Cabos</vt:lpstr>
      <vt:lpstr>Tomadas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Vanessa Furtado</cp:lastModifiedBy>
  <cp:revision/>
  <cp:lastPrinted>2019-04-16T03:47:22Z</cp:lastPrinted>
  <dcterms:created xsi:type="dcterms:W3CDTF">2019-04-11T02:52:07Z</dcterms:created>
  <dcterms:modified xsi:type="dcterms:W3CDTF">2019-07-03T11:59:56Z</dcterms:modified>
  <cp:category/>
  <cp:contentStatus/>
</cp:coreProperties>
</file>